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60" yWindow="180" windowWidth="15480" windowHeight="11400"/>
  </bookViews>
  <sheets>
    <sheet name="декабрь (2)" sheetId="14" r:id="rId1"/>
    <sheet name="декабрь" sheetId="13" r:id="rId2"/>
    <sheet name="ноябрь" sheetId="12" r:id="rId3"/>
    <sheet name="август  (А.Ю.)" sheetId="11" r:id="rId4"/>
    <sheet name="август " sheetId="10" r:id="rId5"/>
    <sheet name="июнь " sheetId="8" r:id="rId6"/>
    <sheet name="апрель" sheetId="6" r:id="rId7"/>
    <sheet name="июль" sheetId="9" r:id="rId8"/>
    <sheet name="март" sheetId="5" r:id="rId9"/>
    <sheet name="февраль" sheetId="4" r:id="rId10"/>
    <sheet name="январь" sheetId="3" r:id="rId11"/>
    <sheet name="проект 2024 ( уточн)" sheetId="2" r:id="rId12"/>
  </sheets>
  <definedNames>
    <definedName name="_xlnm._FilterDatabase" localSheetId="0" hidden="1">'декабрь (2)'!$A$19:$S$138</definedName>
    <definedName name="_xlnm.Print_Titles" localSheetId="4">'август '!$13:$15</definedName>
    <definedName name="_xlnm.Print_Titles" localSheetId="3">'август  (А.Ю.)'!$13:$15</definedName>
    <definedName name="_xlnm.Print_Titles" localSheetId="6">апрель!$13:$15</definedName>
    <definedName name="_xlnm.Print_Titles" localSheetId="1">декабрь!$13:$15</definedName>
    <definedName name="_xlnm.Print_Titles" localSheetId="0">'декабрь (2)'!$17:$19</definedName>
    <definedName name="_xlnm.Print_Titles" localSheetId="7">июль!$13:$15</definedName>
    <definedName name="_xlnm.Print_Titles" localSheetId="5">'июнь '!$13:$15</definedName>
    <definedName name="_xlnm.Print_Titles" localSheetId="8">март!$13:$15</definedName>
    <definedName name="_xlnm.Print_Titles" localSheetId="2">ноябрь!$13:$15</definedName>
    <definedName name="_xlnm.Print_Titles" localSheetId="11">'проект 2024 ( уточн)'!$13:$15</definedName>
    <definedName name="_xlnm.Print_Titles" localSheetId="9">февраль!$13:$15</definedName>
    <definedName name="_xlnm.Print_Titles" localSheetId="10">январь!$13:$15</definedName>
    <definedName name="_xlnm.Print_Area" localSheetId="4">'август '!$A$1:$N$423</definedName>
    <definedName name="_xlnm.Print_Area" localSheetId="3">'август  (А.Ю.)'!$A$1:$N$423</definedName>
    <definedName name="_xlnm.Print_Area" localSheetId="6">апрель!$A$1:$N$398</definedName>
    <definedName name="_xlnm.Print_Area" localSheetId="1">декабрь!$A$1:$N$439</definedName>
    <definedName name="_xlnm.Print_Area" localSheetId="0">'декабрь (2)'!$A$1:$R$451</definedName>
    <definedName name="_xlnm.Print_Area" localSheetId="7">июль!$A$1:$N$421</definedName>
    <definedName name="_xlnm.Print_Area" localSheetId="5">'июнь '!$A$1:$N$406</definedName>
    <definedName name="_xlnm.Print_Area" localSheetId="8">март!$A$1:$N$378</definedName>
    <definedName name="_xlnm.Print_Area" localSheetId="2">ноябрь!$A$1:$N$439</definedName>
    <definedName name="_xlnm.Print_Area" localSheetId="11">'проект 2024 ( уточн)'!$A$1:$N$320</definedName>
    <definedName name="_xlnm.Print_Area" localSheetId="9">февраль!$A$1:$N$368</definedName>
    <definedName name="_xlnm.Print_Area" localSheetId="10">январь!$A$1:$N$349</definedName>
  </definedNames>
  <calcPr calcId="144525" iterate="1"/>
</workbook>
</file>

<file path=xl/calcChain.xml><?xml version="1.0" encoding="utf-8"?>
<calcChain xmlns="http://schemas.openxmlformats.org/spreadsheetml/2006/main">
  <c r="L443" i="14" l="1"/>
  <c r="G443" i="14"/>
  <c r="H443" i="14" s="1"/>
  <c r="N443" i="14" s="1"/>
  <c r="R443" i="14" s="1"/>
  <c r="M443" i="14" l="1"/>
  <c r="R440" i="14"/>
  <c r="R439" i="14"/>
  <c r="R434" i="14"/>
  <c r="R433" i="14"/>
  <c r="R430" i="14"/>
  <c r="R387" i="14"/>
  <c r="R377" i="14"/>
  <c r="R376" i="14"/>
  <c r="R358" i="14"/>
  <c r="R326" i="14"/>
  <c r="R325" i="14"/>
  <c r="R319" i="14"/>
  <c r="R318" i="14"/>
  <c r="R308" i="14"/>
  <c r="R306" i="14"/>
  <c r="R299" i="14"/>
  <c r="R275" i="14"/>
  <c r="R269" i="14"/>
  <c r="R268" i="14"/>
  <c r="R258" i="14"/>
  <c r="R241" i="14"/>
  <c r="R240" i="14"/>
  <c r="R239" i="14"/>
  <c r="R234" i="14"/>
  <c r="R233" i="14"/>
  <c r="R210" i="14"/>
  <c r="R209" i="14"/>
  <c r="R193" i="14"/>
  <c r="R192" i="14"/>
  <c r="R191" i="14"/>
  <c r="R190" i="14"/>
  <c r="R177" i="14"/>
  <c r="R169" i="14"/>
  <c r="R165" i="14"/>
  <c r="R128" i="14"/>
  <c r="R91" i="14"/>
  <c r="R82" i="14"/>
  <c r="R81" i="14"/>
  <c r="R76" i="14"/>
  <c r="R64" i="14"/>
  <c r="R57" i="14"/>
  <c r="R55" i="14"/>
  <c r="R51" i="14"/>
  <c r="R42" i="14"/>
  <c r="R41" i="14"/>
  <c r="R33" i="14"/>
  <c r="O124" i="14" l="1"/>
  <c r="O130" i="14"/>
  <c r="O355" i="14" l="1"/>
  <c r="O211" i="14"/>
  <c r="O417" i="14"/>
  <c r="O367" i="14" l="1"/>
  <c r="O374" i="14"/>
  <c r="O347" i="14"/>
  <c r="O416" i="14"/>
  <c r="O431" i="14"/>
  <c r="O366" i="14" l="1"/>
  <c r="O373" i="14"/>
  <c r="O425" i="14"/>
  <c r="O415" i="14" s="1"/>
  <c r="O410" i="14"/>
  <c r="O404" i="14"/>
  <c r="O409" i="14" l="1"/>
  <c r="O403" i="14"/>
  <c r="O402" i="14"/>
  <c r="O205" i="14"/>
  <c r="O206" i="14"/>
  <c r="N206" i="14"/>
  <c r="O246" i="14"/>
  <c r="O237" i="14"/>
  <c r="O225" i="14"/>
  <c r="O232" i="14"/>
  <c r="O249" i="14"/>
  <c r="O123" i="14"/>
  <c r="O112" i="14"/>
  <c r="O101" i="14"/>
  <c r="O100" i="14" s="1"/>
  <c r="O111" i="14" l="1"/>
  <c r="O245" i="14"/>
  <c r="O122" i="14"/>
  <c r="O231" i="14"/>
  <c r="O236" i="14"/>
  <c r="R206" i="14"/>
  <c r="O224" i="14"/>
  <c r="O248" i="14"/>
  <c r="O163" i="14"/>
  <c r="O153" i="14"/>
  <c r="O195" i="14"/>
  <c r="O204" i="14"/>
  <c r="O160" i="14"/>
  <c r="O384" i="14"/>
  <c r="O381" i="14"/>
  <c r="O363" i="14"/>
  <c r="O360" i="14"/>
  <c r="O354" i="14"/>
  <c r="O337" i="14"/>
  <c r="O329" i="14"/>
  <c r="O317" i="14"/>
  <c r="O314" i="14"/>
  <c r="O304" i="14"/>
  <c r="O302" i="14"/>
  <c r="O298" i="14"/>
  <c r="O294" i="14"/>
  <c r="O270" i="14"/>
  <c r="O266" i="14"/>
  <c r="O261" i="14"/>
  <c r="O257" i="14"/>
  <c r="O397" i="14"/>
  <c r="O393" i="14"/>
  <c r="O93" i="14"/>
  <c r="O97" i="14"/>
  <c r="O79" i="14"/>
  <c r="O73" i="14"/>
  <c r="O67" i="14"/>
  <c r="O65" i="14"/>
  <c r="O63" i="14"/>
  <c r="O61" i="14"/>
  <c r="O59" i="14"/>
  <c r="O54" i="14"/>
  <c r="O48" i="14"/>
  <c r="O40" i="14"/>
  <c r="O34" i="14"/>
  <c r="O30" i="14"/>
  <c r="O27" i="14"/>
  <c r="O24" i="14"/>
  <c r="O78" i="14" l="1"/>
  <c r="O72" i="14"/>
  <c r="O162" i="14"/>
  <c r="O230" i="14"/>
  <c r="O200" i="14"/>
  <c r="O328" i="14"/>
  <c r="O235" i="14"/>
  <c r="O29" i="14"/>
  <c r="O92" i="14"/>
  <c r="O256" i="14"/>
  <c r="O301" i="14"/>
  <c r="O39" i="14"/>
  <c r="O260" i="14"/>
  <c r="O359" i="14"/>
  <c r="O194" i="14"/>
  <c r="O96" i="14"/>
  <c r="O392" i="14"/>
  <c r="O265" i="14"/>
  <c r="O396" i="14"/>
  <c r="O372" i="14"/>
  <c r="O244" i="14"/>
  <c r="O336" i="14"/>
  <c r="O291" i="14"/>
  <c r="O297" i="14"/>
  <c r="O110" i="14"/>
  <c r="O313" i="14"/>
  <c r="O152" i="14"/>
  <c r="O23" i="14"/>
  <c r="O53" i="14"/>
  <c r="G433" i="14"/>
  <c r="G434" i="14"/>
  <c r="O312" i="14" l="1"/>
  <c r="O290" i="14"/>
  <c r="O255" i="14"/>
  <c r="O296" i="14"/>
  <c r="O219" i="14"/>
  <c r="O95" i="14"/>
  <c r="O395" i="14"/>
  <c r="O88" i="14"/>
  <c r="O99" i="14"/>
  <c r="O335" i="14"/>
  <c r="O22" i="14"/>
  <c r="O264" i="14"/>
  <c r="O259" i="14"/>
  <c r="O300" i="14"/>
  <c r="O353" i="14"/>
  <c r="O38" i="14"/>
  <c r="O391" i="14"/>
  <c r="O77" i="14"/>
  <c r="O151" i="14"/>
  <c r="G91" i="14"/>
  <c r="G197" i="14"/>
  <c r="G362" i="14"/>
  <c r="G421" i="14"/>
  <c r="G418" i="14"/>
  <c r="G165" i="14"/>
  <c r="O254" i="14" l="1"/>
  <c r="O263" i="14"/>
  <c r="O87" i="14"/>
  <c r="O352" i="14"/>
  <c r="O334" i="14"/>
  <c r="O143" i="14"/>
  <c r="M60" i="14"/>
  <c r="K60" i="14"/>
  <c r="J64" i="14"/>
  <c r="G330" i="14" l="1"/>
  <c r="G179" i="14"/>
  <c r="G177" i="14"/>
  <c r="G64" i="14" l="1"/>
  <c r="J57" i="14"/>
  <c r="G364" i="14"/>
  <c r="J225" i="14"/>
  <c r="K228" i="14"/>
  <c r="K229" i="14"/>
  <c r="H331" i="14" l="1"/>
  <c r="M331" i="14"/>
  <c r="N331" i="14" s="1"/>
  <c r="R331" i="14" s="1"/>
  <c r="H75" i="14"/>
  <c r="G85" i="14"/>
  <c r="M436" i="14" l="1"/>
  <c r="J435" i="14"/>
  <c r="M435" i="14" s="1"/>
  <c r="K436" i="14"/>
  <c r="N436" i="14" s="1"/>
  <c r="R436" i="14" s="1"/>
  <c r="J431" i="14" l="1"/>
  <c r="K435" i="14"/>
  <c r="N435" i="14" s="1"/>
  <c r="R435" i="14" s="1"/>
  <c r="J55" i="14"/>
  <c r="H421" i="14" l="1"/>
  <c r="H406" i="14"/>
  <c r="H361" i="14"/>
  <c r="M362" i="14"/>
  <c r="N362" i="14" s="1"/>
  <c r="R362" i="14" s="1"/>
  <c r="H362" i="14"/>
  <c r="G31" i="14" l="1"/>
  <c r="G56" i="13" l="1"/>
  <c r="K157" i="14" l="1"/>
  <c r="F441" i="14" l="1"/>
  <c r="F437" i="14" s="1"/>
  <c r="F442" i="14"/>
  <c r="L442" i="14"/>
  <c r="L441" i="14"/>
  <c r="L437" i="14" s="1"/>
  <c r="G441" i="14"/>
  <c r="M441" i="14" s="1"/>
  <c r="I439" i="14"/>
  <c r="I438" i="14" s="1"/>
  <c r="I437" i="14" s="1"/>
  <c r="N438" i="14"/>
  <c r="R438" i="14" s="1"/>
  <c r="F438" i="14"/>
  <c r="M434" i="14"/>
  <c r="L434" i="14"/>
  <c r="H434" i="14"/>
  <c r="L433" i="14"/>
  <c r="H433" i="14"/>
  <c r="K432" i="14"/>
  <c r="K431" i="14" s="1"/>
  <c r="I432" i="14"/>
  <c r="G432" i="14"/>
  <c r="G431" i="14" s="1"/>
  <c r="F432" i="14"/>
  <c r="I431" i="14"/>
  <c r="N429" i="14"/>
  <c r="R429" i="14" s="1"/>
  <c r="M429" i="14"/>
  <c r="M425" i="14" s="1"/>
  <c r="L429" i="14"/>
  <c r="K429" i="14"/>
  <c r="I429" i="14"/>
  <c r="H429" i="14"/>
  <c r="H425" i="14" s="1"/>
  <c r="G429" i="14"/>
  <c r="G425" i="14" s="1"/>
  <c r="F429" i="14"/>
  <c r="F425" i="14" s="1"/>
  <c r="N428" i="14"/>
  <c r="R428" i="14" s="1"/>
  <c r="M428" i="14"/>
  <c r="L428" i="14"/>
  <c r="N427" i="14"/>
  <c r="M427" i="14"/>
  <c r="L427" i="14"/>
  <c r="I426" i="14"/>
  <c r="K426" i="14" s="1"/>
  <c r="K425" i="14" s="1"/>
  <c r="M424" i="14"/>
  <c r="L424" i="14"/>
  <c r="H424" i="14"/>
  <c r="N424" i="14" s="1"/>
  <c r="R424" i="14" s="1"/>
  <c r="G423" i="14"/>
  <c r="M423" i="14" s="1"/>
  <c r="F423" i="14"/>
  <c r="L423" i="14" s="1"/>
  <c r="M422" i="14"/>
  <c r="L422" i="14"/>
  <c r="H422" i="14"/>
  <c r="N422" i="14" s="1"/>
  <c r="R422" i="14" s="1"/>
  <c r="N421" i="14"/>
  <c r="R421" i="14" s="1"/>
  <c r="M421" i="14"/>
  <c r="L421" i="14"/>
  <c r="M420" i="14"/>
  <c r="H420" i="14"/>
  <c r="N420" i="14" s="1"/>
  <c r="R420" i="14" s="1"/>
  <c r="G419" i="14"/>
  <c r="M419" i="14" s="1"/>
  <c r="M418" i="14"/>
  <c r="L418" i="14"/>
  <c r="H418" i="14"/>
  <c r="K417" i="14"/>
  <c r="I417" i="14"/>
  <c r="G417" i="14"/>
  <c r="F417" i="14"/>
  <c r="K416" i="14"/>
  <c r="J416" i="14"/>
  <c r="J415" i="14" s="1"/>
  <c r="I416" i="14"/>
  <c r="M414" i="14"/>
  <c r="M413" i="14" s="1"/>
  <c r="L414" i="14"/>
  <c r="H414" i="14"/>
  <c r="N414" i="14" s="1"/>
  <c r="K413" i="14"/>
  <c r="I413" i="14"/>
  <c r="G413" i="14"/>
  <c r="F413" i="14"/>
  <c r="N412" i="14"/>
  <c r="R412" i="14" s="1"/>
  <c r="L412" i="14"/>
  <c r="H412" i="14"/>
  <c r="H411" i="14" s="1"/>
  <c r="F412" i="14"/>
  <c r="F411" i="14" s="1"/>
  <c r="F410" i="14" s="1"/>
  <c r="F409" i="14" s="1"/>
  <c r="N411" i="14"/>
  <c r="R411" i="14" s="1"/>
  <c r="M411" i="14"/>
  <c r="K411" i="14"/>
  <c r="I411" i="14"/>
  <c r="G411" i="14"/>
  <c r="J410" i="14"/>
  <c r="J409" i="14" s="1"/>
  <c r="M408" i="14"/>
  <c r="L408" i="14"/>
  <c r="H408" i="14"/>
  <c r="N408" i="14" s="1"/>
  <c r="R408" i="14" s="1"/>
  <c r="G407" i="14"/>
  <c r="M407" i="14" s="1"/>
  <c r="F407" i="14"/>
  <c r="M406" i="14"/>
  <c r="M405" i="14" s="1"/>
  <c r="L406" i="14"/>
  <c r="N406" i="14"/>
  <c r="K405" i="14"/>
  <c r="K404" i="14" s="1"/>
  <c r="K403" i="14" s="1"/>
  <c r="I405" i="14"/>
  <c r="I404" i="14" s="1"/>
  <c r="I403" i="14" s="1"/>
  <c r="H405" i="14"/>
  <c r="G405" i="14"/>
  <c r="F405" i="14"/>
  <c r="J404" i="14"/>
  <c r="J403" i="14"/>
  <c r="M401" i="14"/>
  <c r="L401" i="14"/>
  <c r="H401" i="14"/>
  <c r="N401" i="14" s="1"/>
  <c r="R401" i="14" s="1"/>
  <c r="M400" i="14"/>
  <c r="L400" i="14"/>
  <c r="H400" i="14"/>
  <c r="N400" i="14" s="1"/>
  <c r="R400" i="14" s="1"/>
  <c r="M399" i="14"/>
  <c r="L399" i="14"/>
  <c r="H399" i="14"/>
  <c r="N399" i="14" s="1"/>
  <c r="R399" i="14" s="1"/>
  <c r="M398" i="14"/>
  <c r="M397" i="14" s="1"/>
  <c r="L398" i="14"/>
  <c r="L397" i="14" s="1"/>
  <c r="H398" i="14"/>
  <c r="N398" i="14" s="1"/>
  <c r="R398" i="14" s="1"/>
  <c r="K397" i="14"/>
  <c r="K396" i="14" s="1"/>
  <c r="K395" i="14" s="1"/>
  <c r="I397" i="14"/>
  <c r="I396" i="14" s="1"/>
  <c r="I395" i="14" s="1"/>
  <c r="H397" i="14"/>
  <c r="G397" i="14"/>
  <c r="G396" i="14" s="1"/>
  <c r="M396" i="14" s="1"/>
  <c r="M395" i="14" s="1"/>
  <c r="F397" i="14"/>
  <c r="F396" i="14" s="1"/>
  <c r="J395" i="14"/>
  <c r="M394" i="14"/>
  <c r="M393" i="14" s="1"/>
  <c r="M392" i="14" s="1"/>
  <c r="M391" i="14" s="1"/>
  <c r="L394" i="14"/>
  <c r="H394" i="14"/>
  <c r="N394" i="14" s="1"/>
  <c r="K393" i="14"/>
  <c r="K392" i="14" s="1"/>
  <c r="K391" i="14" s="1"/>
  <c r="I393" i="14"/>
  <c r="I392" i="14" s="1"/>
  <c r="I391" i="14" s="1"/>
  <c r="H393" i="14"/>
  <c r="H392" i="14" s="1"/>
  <c r="H391" i="14" s="1"/>
  <c r="G393" i="14"/>
  <c r="G392" i="14" s="1"/>
  <c r="G391" i="14" s="1"/>
  <c r="F393" i="14"/>
  <c r="F392" i="14" s="1"/>
  <c r="F391" i="14" s="1"/>
  <c r="J391" i="14"/>
  <c r="M390" i="14"/>
  <c r="L390" i="14"/>
  <c r="H390" i="14"/>
  <c r="N390" i="14" s="1"/>
  <c r="R390" i="14" s="1"/>
  <c r="L389" i="14"/>
  <c r="H389" i="14"/>
  <c r="N389" i="14" s="1"/>
  <c r="R389" i="14" s="1"/>
  <c r="G389" i="14"/>
  <c r="M389" i="14" s="1"/>
  <c r="G388" i="14"/>
  <c r="M388" i="14" s="1"/>
  <c r="M387" i="14"/>
  <c r="M386" i="14"/>
  <c r="M385" i="14" s="1"/>
  <c r="L386" i="14"/>
  <c r="L385" i="14" s="1"/>
  <c r="H386" i="14"/>
  <c r="N386" i="14" s="1"/>
  <c r="R386" i="14" s="1"/>
  <c r="K385" i="14"/>
  <c r="K384" i="14" s="1"/>
  <c r="I385" i="14"/>
  <c r="I384" i="14" s="1"/>
  <c r="G385" i="14"/>
  <c r="F385" i="14"/>
  <c r="F384" i="14" s="1"/>
  <c r="J384" i="14"/>
  <c r="J372" i="14" s="1"/>
  <c r="M383" i="14"/>
  <c r="M382" i="14" s="1"/>
  <c r="M381" i="14" s="1"/>
  <c r="L383" i="14"/>
  <c r="N383" i="14" s="1"/>
  <c r="H383" i="14"/>
  <c r="H382" i="14" s="1"/>
  <c r="H381" i="14" s="1"/>
  <c r="K382" i="14"/>
  <c r="K381" i="14" s="1"/>
  <c r="I382" i="14"/>
  <c r="I381" i="14" s="1"/>
  <c r="G382" i="14"/>
  <c r="G381" i="14" s="1"/>
  <c r="F382" i="14"/>
  <c r="F381" i="14" s="1"/>
  <c r="M380" i="14"/>
  <c r="L380" i="14"/>
  <c r="H380" i="14"/>
  <c r="N380" i="14" s="1"/>
  <c r="R380" i="14" s="1"/>
  <c r="G379" i="14"/>
  <c r="M379" i="14" s="1"/>
  <c r="F379" i="14"/>
  <c r="L379" i="14" s="1"/>
  <c r="M378" i="14"/>
  <c r="L378" i="14"/>
  <c r="H378" i="14"/>
  <c r="M375" i="14"/>
  <c r="M374" i="14" s="1"/>
  <c r="L375" i="14"/>
  <c r="H375" i="14"/>
  <c r="N375" i="14" s="1"/>
  <c r="R375" i="14" s="1"/>
  <c r="K374" i="14"/>
  <c r="K373" i="14" s="1"/>
  <c r="I374" i="14"/>
  <c r="I373" i="14" s="1"/>
  <c r="G374" i="14"/>
  <c r="F374" i="14"/>
  <c r="M371" i="14"/>
  <c r="L371" i="14"/>
  <c r="L370" i="14" s="1"/>
  <c r="H371" i="14"/>
  <c r="H370" i="14" s="1"/>
  <c r="K370" i="14"/>
  <c r="I370" i="14"/>
  <c r="G370" i="14"/>
  <c r="F370" i="14"/>
  <c r="N369" i="14"/>
  <c r="M369" i="14"/>
  <c r="M368" i="14" s="1"/>
  <c r="L369" i="14"/>
  <c r="L368" i="14" s="1"/>
  <c r="K368" i="14"/>
  <c r="I368" i="14"/>
  <c r="H368" i="14"/>
  <c r="G368" i="14"/>
  <c r="F368" i="14"/>
  <c r="J366" i="14"/>
  <c r="M365" i="14"/>
  <c r="L365" i="14"/>
  <c r="M364" i="14"/>
  <c r="L364" i="14"/>
  <c r="H364" i="14"/>
  <c r="N364" i="14" s="1"/>
  <c r="R364" i="14" s="1"/>
  <c r="K363" i="14"/>
  <c r="I363" i="14"/>
  <c r="G363" i="14"/>
  <c r="F363" i="14"/>
  <c r="L363" i="14" s="1"/>
  <c r="N361" i="14"/>
  <c r="M361" i="14"/>
  <c r="L361" i="14"/>
  <c r="M360" i="14"/>
  <c r="L360" i="14"/>
  <c r="K360" i="14"/>
  <c r="I360" i="14"/>
  <c r="H360" i="14"/>
  <c r="G360" i="14"/>
  <c r="F360" i="14"/>
  <c r="M357" i="14"/>
  <c r="L357" i="14"/>
  <c r="H357" i="14"/>
  <c r="N357" i="14" s="1"/>
  <c r="R357" i="14" s="1"/>
  <c r="M356" i="14"/>
  <c r="L356" i="14"/>
  <c r="H356" i="14"/>
  <c r="N356" i="14" s="1"/>
  <c r="R356" i="14" s="1"/>
  <c r="M355" i="14"/>
  <c r="M354" i="14" s="1"/>
  <c r="K355" i="14"/>
  <c r="K354" i="14" s="1"/>
  <c r="I355" i="14"/>
  <c r="I354" i="14" s="1"/>
  <c r="G355" i="14"/>
  <c r="G354" i="14" s="1"/>
  <c r="F355" i="14"/>
  <c r="F354" i="14" s="1"/>
  <c r="J353" i="14"/>
  <c r="L351" i="14"/>
  <c r="K351" i="14"/>
  <c r="N351" i="14" s="1"/>
  <c r="R351" i="14" s="1"/>
  <c r="L350" i="14"/>
  <c r="K350" i="14"/>
  <c r="N350" i="14" s="1"/>
  <c r="R350" i="14" s="1"/>
  <c r="N349" i="14"/>
  <c r="R349" i="14" s="1"/>
  <c r="M349" i="14"/>
  <c r="L349" i="14"/>
  <c r="M348" i="14"/>
  <c r="L348" i="14"/>
  <c r="K348" i="14"/>
  <c r="H348" i="14"/>
  <c r="H347" i="14" s="1"/>
  <c r="G347" i="14"/>
  <c r="F347" i="14"/>
  <c r="F345" i="14" s="1"/>
  <c r="M346" i="14"/>
  <c r="F346" i="14"/>
  <c r="M345" i="14"/>
  <c r="J345" i="14"/>
  <c r="M344" i="14"/>
  <c r="L344" i="14"/>
  <c r="H344" i="14"/>
  <c r="N344" i="14" s="1"/>
  <c r="R344" i="14" s="1"/>
  <c r="G343" i="14"/>
  <c r="M343" i="14" s="1"/>
  <c r="L342" i="14"/>
  <c r="G342" i="14"/>
  <c r="H342" i="14" s="1"/>
  <c r="N342" i="14" s="1"/>
  <c r="R342" i="14" s="1"/>
  <c r="M341" i="14"/>
  <c r="M340" i="14" s="1"/>
  <c r="L341" i="14"/>
  <c r="K341" i="14"/>
  <c r="K340" i="14" s="1"/>
  <c r="H341" i="14"/>
  <c r="I340" i="14"/>
  <c r="H340" i="14"/>
  <c r="G340" i="14"/>
  <c r="F340" i="14"/>
  <c r="M339" i="14"/>
  <c r="L339" i="14"/>
  <c r="H339" i="14"/>
  <c r="N339" i="14" s="1"/>
  <c r="R339" i="14" s="1"/>
  <c r="M338" i="14"/>
  <c r="L338" i="14"/>
  <c r="H338" i="14"/>
  <c r="K337" i="14"/>
  <c r="I337" i="14"/>
  <c r="G337" i="14"/>
  <c r="F337" i="14"/>
  <c r="J336" i="14"/>
  <c r="J335" i="14" s="1"/>
  <c r="J334" i="14" s="1"/>
  <c r="N333" i="14"/>
  <c r="R333" i="14" s="1"/>
  <c r="M333" i="14"/>
  <c r="L333" i="14"/>
  <c r="K332" i="14"/>
  <c r="N332" i="14" s="1"/>
  <c r="J332" i="14"/>
  <c r="M332" i="14" s="1"/>
  <c r="I332" i="14"/>
  <c r="L332" i="14" s="1"/>
  <c r="O332" i="14" s="1"/>
  <c r="M330" i="14"/>
  <c r="M329" i="14" s="1"/>
  <c r="M328" i="14" s="1"/>
  <c r="L330" i="14"/>
  <c r="H330" i="14"/>
  <c r="H329" i="14" s="1"/>
  <c r="H328" i="14" s="1"/>
  <c r="H327" i="14" s="1"/>
  <c r="K329" i="14"/>
  <c r="K328" i="14" s="1"/>
  <c r="I329" i="14"/>
  <c r="I328" i="14" s="1"/>
  <c r="G329" i="14"/>
  <c r="G328" i="14" s="1"/>
  <c r="G327" i="14" s="1"/>
  <c r="F329" i="14"/>
  <c r="F328" i="14" s="1"/>
  <c r="F327" i="14" s="1"/>
  <c r="N324" i="14"/>
  <c r="M324" i="14"/>
  <c r="M323" i="14" s="1"/>
  <c r="M322" i="14" s="1"/>
  <c r="L324" i="14"/>
  <c r="K324" i="14"/>
  <c r="K323" i="14" s="1"/>
  <c r="K322" i="14" s="1"/>
  <c r="I324" i="14"/>
  <c r="I323" i="14" s="1"/>
  <c r="I322" i="14" s="1"/>
  <c r="H324" i="14"/>
  <c r="H323" i="14" s="1"/>
  <c r="H322" i="14" s="1"/>
  <c r="G324" i="14"/>
  <c r="G323" i="14" s="1"/>
  <c r="G322" i="14" s="1"/>
  <c r="F324" i="14"/>
  <c r="F323" i="14" s="1"/>
  <c r="F322" i="14" s="1"/>
  <c r="J322" i="14"/>
  <c r="M321" i="14"/>
  <c r="L321" i="14"/>
  <c r="K321" i="14"/>
  <c r="L320" i="14"/>
  <c r="J320" i="14"/>
  <c r="N317" i="14"/>
  <c r="R317" i="14" s="1"/>
  <c r="M317" i="14"/>
  <c r="L317" i="14"/>
  <c r="K317" i="14"/>
  <c r="I317" i="14"/>
  <c r="H317" i="14"/>
  <c r="G317" i="14"/>
  <c r="F317" i="14"/>
  <c r="M316" i="14"/>
  <c r="L316" i="14"/>
  <c r="H316" i="14"/>
  <c r="M315" i="14"/>
  <c r="L315" i="14"/>
  <c r="H315" i="14"/>
  <c r="N315" i="14" s="1"/>
  <c r="R315" i="14" s="1"/>
  <c r="K314" i="14"/>
  <c r="I314" i="14"/>
  <c r="G314" i="14"/>
  <c r="F314" i="14"/>
  <c r="M310" i="14"/>
  <c r="H310" i="14"/>
  <c r="N310" i="14" s="1"/>
  <c r="R310" i="14" s="1"/>
  <c r="M309" i="14"/>
  <c r="H309" i="14"/>
  <c r="M308" i="14"/>
  <c r="H308" i="14"/>
  <c r="M307" i="14"/>
  <c r="H307" i="14"/>
  <c r="N307" i="14" s="1"/>
  <c r="R307" i="14" s="1"/>
  <c r="N305" i="14"/>
  <c r="M305" i="14"/>
  <c r="M304" i="14" s="1"/>
  <c r="L305" i="14"/>
  <c r="L304" i="14" s="1"/>
  <c r="K305" i="14"/>
  <c r="K304" i="14" s="1"/>
  <c r="I305" i="14"/>
  <c r="I304" i="14" s="1"/>
  <c r="H305" i="14"/>
  <c r="H304" i="14" s="1"/>
  <c r="G305" i="14"/>
  <c r="G304" i="14" s="1"/>
  <c r="F305" i="14"/>
  <c r="F304" i="14" s="1"/>
  <c r="N303" i="14"/>
  <c r="M303" i="14"/>
  <c r="M302" i="14" s="1"/>
  <c r="M301" i="14" s="1"/>
  <c r="L303" i="14"/>
  <c r="L302" i="14" s="1"/>
  <c r="K302" i="14"/>
  <c r="K301" i="14" s="1"/>
  <c r="I302" i="14"/>
  <c r="I301" i="14" s="1"/>
  <c r="H302" i="14"/>
  <c r="H301" i="14" s="1"/>
  <c r="G302" i="14"/>
  <c r="G301" i="14" s="1"/>
  <c r="F302" i="14"/>
  <c r="F301" i="14" s="1"/>
  <c r="J300" i="14"/>
  <c r="N298" i="14"/>
  <c r="M298" i="14"/>
  <c r="M297" i="14" s="1"/>
  <c r="M296" i="14" s="1"/>
  <c r="L298" i="14"/>
  <c r="L297" i="14" s="1"/>
  <c r="K298" i="14"/>
  <c r="K297" i="14" s="1"/>
  <c r="K296" i="14" s="1"/>
  <c r="I298" i="14"/>
  <c r="I297" i="14" s="1"/>
  <c r="I296" i="14" s="1"/>
  <c r="H298" i="14"/>
  <c r="H297" i="14" s="1"/>
  <c r="H296" i="14" s="1"/>
  <c r="G298" i="14"/>
  <c r="G297" i="14" s="1"/>
  <c r="G296" i="14" s="1"/>
  <c r="F298" i="14"/>
  <c r="F297" i="14" s="1"/>
  <c r="F296" i="14" s="1"/>
  <c r="J296" i="14"/>
  <c r="N295" i="14"/>
  <c r="M295" i="14"/>
  <c r="M294" i="14" s="1"/>
  <c r="L295" i="14"/>
  <c r="L294" i="14" s="1"/>
  <c r="K294" i="14"/>
  <c r="I294" i="14"/>
  <c r="H294" i="14"/>
  <c r="G294" i="14"/>
  <c r="F294" i="14"/>
  <c r="M293" i="14"/>
  <c r="M292" i="14" s="1"/>
  <c r="L293" i="14"/>
  <c r="L292" i="14" s="1"/>
  <c r="H293" i="14"/>
  <c r="H292" i="14" s="1"/>
  <c r="K292" i="14"/>
  <c r="I292" i="14"/>
  <c r="G292" i="14"/>
  <c r="F292" i="14"/>
  <c r="M289" i="14"/>
  <c r="M288" i="14" s="1"/>
  <c r="M287" i="14" s="1"/>
  <c r="M286" i="14" s="1"/>
  <c r="L289" i="14"/>
  <c r="L288" i="14" s="1"/>
  <c r="H289" i="14"/>
  <c r="H288" i="14" s="1"/>
  <c r="H287" i="14" s="1"/>
  <c r="H286" i="14" s="1"/>
  <c r="K288" i="14"/>
  <c r="K287" i="14" s="1"/>
  <c r="K286" i="14" s="1"/>
  <c r="I288" i="14"/>
  <c r="I287" i="14" s="1"/>
  <c r="I286" i="14" s="1"/>
  <c r="G288" i="14"/>
  <c r="G287" i="14" s="1"/>
  <c r="G286" i="14" s="1"/>
  <c r="F288" i="14"/>
  <c r="F287" i="14" s="1"/>
  <c r="F286" i="14" s="1"/>
  <c r="M285" i="14"/>
  <c r="H285" i="14"/>
  <c r="N285" i="14" s="1"/>
  <c r="R285" i="14" s="1"/>
  <c r="M284" i="14"/>
  <c r="H284" i="14"/>
  <c r="N284" i="14" s="1"/>
  <c r="R284" i="14" s="1"/>
  <c r="M283" i="14"/>
  <c r="H283" i="14"/>
  <c r="N283" i="14" s="1"/>
  <c r="R283" i="14" s="1"/>
  <c r="M282" i="14"/>
  <c r="H282" i="14"/>
  <c r="N282" i="14" s="1"/>
  <c r="R282" i="14" s="1"/>
  <c r="N281" i="14"/>
  <c r="M281" i="14"/>
  <c r="M280" i="14" s="1"/>
  <c r="M279" i="14" s="1"/>
  <c r="L281" i="14"/>
  <c r="K280" i="14"/>
  <c r="K279" i="14" s="1"/>
  <c r="I280" i="14"/>
  <c r="I279" i="14" s="1"/>
  <c r="H280" i="14"/>
  <c r="H279" i="14" s="1"/>
  <c r="G280" i="14"/>
  <c r="G279" i="14" s="1"/>
  <c r="F280" i="14"/>
  <c r="F279" i="14" s="1"/>
  <c r="N278" i="14"/>
  <c r="M278" i="14"/>
  <c r="M277" i="14" s="1"/>
  <c r="M276" i="14" s="1"/>
  <c r="L278" i="14"/>
  <c r="L277" i="14" s="1"/>
  <c r="K277" i="14"/>
  <c r="K276" i="14" s="1"/>
  <c r="I277" i="14"/>
  <c r="I276" i="14" s="1"/>
  <c r="H277" i="14"/>
  <c r="H276" i="14" s="1"/>
  <c r="G277" i="14"/>
  <c r="G276" i="14" s="1"/>
  <c r="F277" i="14"/>
  <c r="F276" i="14" s="1"/>
  <c r="N274" i="14"/>
  <c r="R274" i="14" s="1"/>
  <c r="M274" i="14"/>
  <c r="L274" i="14"/>
  <c r="K274" i="14"/>
  <c r="I274" i="14"/>
  <c r="H274" i="14"/>
  <c r="G274" i="14"/>
  <c r="F274" i="14"/>
  <c r="M273" i="14"/>
  <c r="L273" i="14"/>
  <c r="H273" i="14"/>
  <c r="N273" i="14" s="1"/>
  <c r="R273" i="14" s="1"/>
  <c r="L272" i="14"/>
  <c r="G272" i="14"/>
  <c r="M271" i="14"/>
  <c r="L271" i="14"/>
  <c r="L270" i="14" s="1"/>
  <c r="H271" i="14"/>
  <c r="N271" i="14" s="1"/>
  <c r="K270" i="14"/>
  <c r="I270" i="14"/>
  <c r="G270" i="14"/>
  <c r="F270" i="14"/>
  <c r="M268" i="14"/>
  <c r="L268" i="14"/>
  <c r="M267" i="14"/>
  <c r="L267" i="14"/>
  <c r="H267" i="14"/>
  <c r="N267" i="14" s="1"/>
  <c r="R267" i="14" s="1"/>
  <c r="K266" i="14"/>
  <c r="I266" i="14"/>
  <c r="G266" i="14"/>
  <c r="M266" i="14" s="1"/>
  <c r="F266" i="14"/>
  <c r="J264" i="14"/>
  <c r="M262" i="14"/>
  <c r="L262" i="14"/>
  <c r="L261" i="14" s="1"/>
  <c r="L260" i="14" s="1"/>
  <c r="H262" i="14"/>
  <c r="N262" i="14" s="1"/>
  <c r="K261" i="14"/>
  <c r="K260" i="14" s="1"/>
  <c r="K259" i="14" s="1"/>
  <c r="I261" i="14"/>
  <c r="I260" i="14" s="1"/>
  <c r="I259" i="14" s="1"/>
  <c r="G261" i="14"/>
  <c r="G260" i="14" s="1"/>
  <c r="G259" i="14" s="1"/>
  <c r="F261" i="14"/>
  <c r="F260" i="14" s="1"/>
  <c r="F259" i="14" s="1"/>
  <c r="J259" i="14"/>
  <c r="N257" i="14"/>
  <c r="M257" i="14"/>
  <c r="M256" i="14" s="1"/>
  <c r="M255" i="14" s="1"/>
  <c r="L257" i="14"/>
  <c r="K257" i="14"/>
  <c r="K256" i="14" s="1"/>
  <c r="K255" i="14" s="1"/>
  <c r="I257" i="14"/>
  <c r="I256" i="14" s="1"/>
  <c r="I255" i="14" s="1"/>
  <c r="H257" i="14"/>
  <c r="H256" i="14" s="1"/>
  <c r="H255" i="14" s="1"/>
  <c r="G257" i="14"/>
  <c r="G256" i="14" s="1"/>
  <c r="G255" i="14" s="1"/>
  <c r="F257" i="14"/>
  <c r="F256" i="14" s="1"/>
  <c r="F255" i="14" s="1"/>
  <c r="J255" i="14"/>
  <c r="M253" i="14"/>
  <c r="M252" i="14" s="1"/>
  <c r="L253" i="14"/>
  <c r="H253" i="14"/>
  <c r="G252" i="14"/>
  <c r="H252" i="14" s="1"/>
  <c r="M251" i="14"/>
  <c r="M250" i="14" s="1"/>
  <c r="L251" i="14"/>
  <c r="L250" i="14" s="1"/>
  <c r="K251" i="14"/>
  <c r="K250" i="14" s="1"/>
  <c r="K249" i="14" s="1"/>
  <c r="K248" i="14" s="1"/>
  <c r="H251" i="14"/>
  <c r="I250" i="14"/>
  <c r="I249" i="14" s="1"/>
  <c r="I248" i="14" s="1"/>
  <c r="G250" i="14"/>
  <c r="F250" i="14"/>
  <c r="F249" i="14" s="1"/>
  <c r="F248" i="14" s="1"/>
  <c r="J248" i="14"/>
  <c r="M247" i="14"/>
  <c r="L247" i="14"/>
  <c r="L246" i="14" s="1"/>
  <c r="L245" i="14" s="1"/>
  <c r="H247" i="14"/>
  <c r="N247" i="14" s="1"/>
  <c r="K246" i="14"/>
  <c r="K245" i="14" s="1"/>
  <c r="K244" i="14" s="1"/>
  <c r="I246" i="14"/>
  <c r="I245" i="14" s="1"/>
  <c r="I244" i="14" s="1"/>
  <c r="G246" i="14"/>
  <c r="G245" i="14" s="1"/>
  <c r="G244" i="14" s="1"/>
  <c r="F246" i="14"/>
  <c r="F245" i="14" s="1"/>
  <c r="F244" i="14" s="1"/>
  <c r="J244" i="14"/>
  <c r="M243" i="14"/>
  <c r="H243" i="14"/>
  <c r="N243" i="14" s="1"/>
  <c r="R243" i="14" s="1"/>
  <c r="N242" i="14"/>
  <c r="R242" i="14" s="1"/>
  <c r="G242" i="14"/>
  <c r="M242" i="14" s="1"/>
  <c r="M238" i="14"/>
  <c r="M237" i="14" s="1"/>
  <c r="L238" i="14"/>
  <c r="L237" i="14" s="1"/>
  <c r="H238" i="14"/>
  <c r="N238" i="14" s="1"/>
  <c r="K237" i="14"/>
  <c r="K236" i="14" s="1"/>
  <c r="K235" i="14" s="1"/>
  <c r="I237" i="14"/>
  <c r="I236" i="14" s="1"/>
  <c r="I235" i="14" s="1"/>
  <c r="G237" i="14"/>
  <c r="F237" i="14"/>
  <c r="F236" i="14" s="1"/>
  <c r="F235" i="14" s="1"/>
  <c r="J235" i="14"/>
  <c r="N232" i="14"/>
  <c r="M232" i="14"/>
  <c r="M231" i="14" s="1"/>
  <c r="L232" i="14"/>
  <c r="L231" i="14" s="1"/>
  <c r="L230" i="14" s="1"/>
  <c r="K232" i="14"/>
  <c r="K231" i="14" s="1"/>
  <c r="K230" i="14" s="1"/>
  <c r="I232" i="14"/>
  <c r="I231" i="14" s="1"/>
  <c r="I230" i="14" s="1"/>
  <c r="H232" i="14"/>
  <c r="H231" i="14" s="1"/>
  <c r="H230" i="14" s="1"/>
  <c r="G232" i="14"/>
  <c r="G231" i="14" s="1"/>
  <c r="G230" i="14" s="1"/>
  <c r="F232" i="14"/>
  <c r="F231" i="14" s="1"/>
  <c r="F230" i="14" s="1"/>
  <c r="M229" i="14"/>
  <c r="L229" i="14"/>
  <c r="H229" i="14"/>
  <c r="N229" i="14" s="1"/>
  <c r="R229" i="14" s="1"/>
  <c r="G228" i="14"/>
  <c r="M228" i="14" s="1"/>
  <c r="F228" i="14"/>
  <c r="L228" i="14" s="1"/>
  <c r="M227" i="14"/>
  <c r="L227" i="14"/>
  <c r="K227" i="14"/>
  <c r="H227" i="14"/>
  <c r="J226" i="14"/>
  <c r="K226" i="14" s="1"/>
  <c r="K225" i="14" s="1"/>
  <c r="K224" i="14" s="1"/>
  <c r="G226" i="14"/>
  <c r="F226" i="14"/>
  <c r="L226" i="14" s="1"/>
  <c r="I225" i="14"/>
  <c r="J224" i="14"/>
  <c r="M223" i="14"/>
  <c r="N223" i="14" s="1"/>
  <c r="R223" i="14" s="1"/>
  <c r="K223" i="14"/>
  <c r="H223" i="14"/>
  <c r="J222" i="14"/>
  <c r="K222" i="14" s="1"/>
  <c r="H222" i="14"/>
  <c r="H221" i="14"/>
  <c r="H220" i="14"/>
  <c r="M218" i="14"/>
  <c r="L218" i="14"/>
  <c r="H218" i="14"/>
  <c r="N218" i="14" s="1"/>
  <c r="R218" i="14" s="1"/>
  <c r="L217" i="14"/>
  <c r="G217" i="14"/>
  <c r="M217" i="14" s="1"/>
  <c r="F216" i="14"/>
  <c r="L216" i="14" s="1"/>
  <c r="M215" i="14"/>
  <c r="L215" i="14"/>
  <c r="K215" i="14"/>
  <c r="H215" i="14"/>
  <c r="M214" i="14"/>
  <c r="I214" i="14"/>
  <c r="K214" i="14" s="1"/>
  <c r="K211" i="14" s="1"/>
  <c r="F214" i="14"/>
  <c r="M213" i="14"/>
  <c r="L213" i="14"/>
  <c r="H213" i="14"/>
  <c r="N213" i="14" s="1"/>
  <c r="R213" i="14" s="1"/>
  <c r="G212" i="14"/>
  <c r="M212" i="14" s="1"/>
  <c r="F212" i="14"/>
  <c r="L212" i="14" s="1"/>
  <c r="J211" i="14"/>
  <c r="M210" i="14"/>
  <c r="L210" i="14"/>
  <c r="H210" i="14"/>
  <c r="H209" i="14" s="1"/>
  <c r="L209" i="14"/>
  <c r="G209" i="14"/>
  <c r="M209" i="14" s="1"/>
  <c r="M208" i="14"/>
  <c r="L208" i="14"/>
  <c r="N208" i="14" s="1"/>
  <c r="R208" i="14" s="1"/>
  <c r="H208" i="14"/>
  <c r="M207" i="14"/>
  <c r="L207" i="14"/>
  <c r="H207" i="14"/>
  <c r="M206" i="14"/>
  <c r="M205" i="14" s="1"/>
  <c r="H206" i="14"/>
  <c r="K205" i="14"/>
  <c r="K204" i="14" s="1"/>
  <c r="I205" i="14"/>
  <c r="I204" i="14" s="1"/>
  <c r="G205" i="14"/>
  <c r="F205" i="14"/>
  <c r="L206" i="14" s="1"/>
  <c r="M203" i="14"/>
  <c r="M202" i="14" s="1"/>
  <c r="M201" i="14" s="1"/>
  <c r="L203" i="14"/>
  <c r="H203" i="14"/>
  <c r="H202" i="14" s="1"/>
  <c r="H201" i="14" s="1"/>
  <c r="K202" i="14"/>
  <c r="K201" i="14" s="1"/>
  <c r="I202" i="14"/>
  <c r="I201" i="14" s="1"/>
  <c r="G202" i="14"/>
  <c r="G201" i="14" s="1"/>
  <c r="F202" i="14"/>
  <c r="F201" i="14" s="1"/>
  <c r="J200" i="14"/>
  <c r="M199" i="14"/>
  <c r="M198" i="14" s="1"/>
  <c r="L199" i="14"/>
  <c r="L198" i="14" s="1"/>
  <c r="H199" i="14"/>
  <c r="N199" i="14" s="1"/>
  <c r="K198" i="14"/>
  <c r="I198" i="14"/>
  <c r="G198" i="14"/>
  <c r="F198" i="14"/>
  <c r="M197" i="14"/>
  <c r="M196" i="14" s="1"/>
  <c r="L197" i="14"/>
  <c r="L196" i="14" s="1"/>
  <c r="H197" i="14"/>
  <c r="N197" i="14" s="1"/>
  <c r="K196" i="14"/>
  <c r="I196" i="14"/>
  <c r="I195" i="14" s="1"/>
  <c r="I194" i="14" s="1"/>
  <c r="G196" i="14"/>
  <c r="F196" i="14"/>
  <c r="J194" i="14"/>
  <c r="M189" i="14"/>
  <c r="L189" i="14"/>
  <c r="K189" i="14"/>
  <c r="H189" i="14"/>
  <c r="J188" i="14"/>
  <c r="I188" i="14"/>
  <c r="K188" i="14" s="1"/>
  <c r="G188" i="14"/>
  <c r="F188" i="14"/>
  <c r="L188" i="14" s="1"/>
  <c r="N187" i="14"/>
  <c r="R187" i="14" s="1"/>
  <c r="L187" i="14"/>
  <c r="H187" i="14"/>
  <c r="M187" i="14" s="1"/>
  <c r="N186" i="14"/>
  <c r="R186" i="14" s="1"/>
  <c r="L186" i="14"/>
  <c r="H186" i="14"/>
  <c r="M186" i="14" s="1"/>
  <c r="M185" i="14"/>
  <c r="L185" i="14"/>
  <c r="K185" i="14"/>
  <c r="K184" i="14" s="1"/>
  <c r="H185" i="14"/>
  <c r="J184" i="14"/>
  <c r="M184" i="14" s="1"/>
  <c r="I184" i="14"/>
  <c r="L184" i="14" s="1"/>
  <c r="H184" i="14"/>
  <c r="N183" i="14"/>
  <c r="R183" i="14" s="1"/>
  <c r="M183" i="14"/>
  <c r="N182" i="14"/>
  <c r="R182" i="14" s="1"/>
  <c r="M182" i="14"/>
  <c r="M181" i="14"/>
  <c r="K181" i="14"/>
  <c r="N181" i="14" s="1"/>
  <c r="R181" i="14" s="1"/>
  <c r="N180" i="14"/>
  <c r="R180" i="14" s="1"/>
  <c r="M180" i="14"/>
  <c r="M179" i="14"/>
  <c r="M178" i="14" s="1"/>
  <c r="L179" i="14"/>
  <c r="H179" i="14"/>
  <c r="N179" i="14" s="1"/>
  <c r="K178" i="14"/>
  <c r="I178" i="14"/>
  <c r="G178" i="14"/>
  <c r="F178" i="14"/>
  <c r="M177" i="14"/>
  <c r="M176" i="14" s="1"/>
  <c r="L177" i="14"/>
  <c r="H177" i="14"/>
  <c r="N176" i="14" s="1"/>
  <c r="R176" i="14" s="1"/>
  <c r="K176" i="14"/>
  <c r="I176" i="14"/>
  <c r="G176" i="14"/>
  <c r="F176" i="14"/>
  <c r="M175" i="14"/>
  <c r="M174" i="14" s="1"/>
  <c r="L175" i="14"/>
  <c r="K175" i="14"/>
  <c r="K174" i="14" s="1"/>
  <c r="H175" i="14"/>
  <c r="J174" i="14"/>
  <c r="I174" i="14"/>
  <c r="M173" i="14"/>
  <c r="L173" i="14"/>
  <c r="H173" i="14"/>
  <c r="N173" i="14" s="1"/>
  <c r="R173" i="14" s="1"/>
  <c r="L172" i="14"/>
  <c r="G172" i="14"/>
  <c r="H172" i="14" s="1"/>
  <c r="N172" i="14" s="1"/>
  <c r="R172" i="14" s="1"/>
  <c r="M171" i="14"/>
  <c r="M170" i="14" s="1"/>
  <c r="L171" i="14"/>
  <c r="H171" i="14"/>
  <c r="N171" i="14" s="1"/>
  <c r="K170" i="14"/>
  <c r="I170" i="14"/>
  <c r="G170" i="14"/>
  <c r="F170" i="14"/>
  <c r="M169" i="14"/>
  <c r="M168" i="14" s="1"/>
  <c r="L169" i="14"/>
  <c r="H169" i="14"/>
  <c r="H168" i="14" s="1"/>
  <c r="K168" i="14"/>
  <c r="I168" i="14"/>
  <c r="G168" i="14"/>
  <c r="F168" i="14"/>
  <c r="M167" i="14"/>
  <c r="M166" i="14" s="1"/>
  <c r="L167" i="14"/>
  <c r="K167" i="14"/>
  <c r="K166" i="14" s="1"/>
  <c r="H167" i="14"/>
  <c r="H166" i="14" s="1"/>
  <c r="J166" i="14"/>
  <c r="I166" i="14"/>
  <c r="G166" i="14"/>
  <c r="F166" i="14"/>
  <c r="M165" i="14"/>
  <c r="L165" i="14"/>
  <c r="L164" i="14" s="1"/>
  <c r="H165" i="14"/>
  <c r="N164" i="14" s="1"/>
  <c r="R164" i="14" s="1"/>
  <c r="K164" i="14"/>
  <c r="I164" i="14"/>
  <c r="G164" i="14"/>
  <c r="F164" i="14"/>
  <c r="M161" i="14"/>
  <c r="M160" i="14" s="1"/>
  <c r="L161" i="14"/>
  <c r="K161" i="14"/>
  <c r="K160" i="14" s="1"/>
  <c r="H161" i="14"/>
  <c r="I160" i="14"/>
  <c r="G160" i="14"/>
  <c r="F160" i="14"/>
  <c r="M159" i="14"/>
  <c r="M158" i="14" s="1"/>
  <c r="K159" i="14"/>
  <c r="K158" i="14" s="1"/>
  <c r="I159" i="14"/>
  <c r="L159" i="14" s="1"/>
  <c r="H159" i="14"/>
  <c r="H158" i="14" s="1"/>
  <c r="G158" i="14"/>
  <c r="F158" i="14"/>
  <c r="N157" i="14"/>
  <c r="M157" i="14"/>
  <c r="M156" i="14" s="1"/>
  <c r="L157" i="14"/>
  <c r="L156" i="14" s="1"/>
  <c r="K156" i="14"/>
  <c r="J156" i="14"/>
  <c r="J152" i="14" s="1"/>
  <c r="J151" i="14" s="1"/>
  <c r="I156" i="14"/>
  <c r="H156" i="14"/>
  <c r="G156" i="14"/>
  <c r="F156" i="14"/>
  <c r="M155" i="14"/>
  <c r="L155" i="14"/>
  <c r="H155" i="14"/>
  <c r="N155" i="14" s="1"/>
  <c r="R155" i="14" s="1"/>
  <c r="M154" i="14"/>
  <c r="L154" i="14"/>
  <c r="K154" i="14"/>
  <c r="K153" i="14" s="1"/>
  <c r="H154" i="14"/>
  <c r="J153" i="14"/>
  <c r="I153" i="14"/>
  <c r="G153" i="14"/>
  <c r="F153" i="14"/>
  <c r="M150" i="14"/>
  <c r="H150" i="14"/>
  <c r="H149" i="14" s="1"/>
  <c r="N149" i="14" s="1"/>
  <c r="R149" i="14" s="1"/>
  <c r="G149" i="14"/>
  <c r="M149" i="14" s="1"/>
  <c r="G148" i="14"/>
  <c r="M148" i="14" s="1"/>
  <c r="M147" i="14"/>
  <c r="M146" i="14" s="1"/>
  <c r="M145" i="14" s="1"/>
  <c r="M144" i="14" s="1"/>
  <c r="L147" i="14"/>
  <c r="L146" i="14" s="1"/>
  <c r="L145" i="14" s="1"/>
  <c r="K147" i="14"/>
  <c r="K146" i="14" s="1"/>
  <c r="K145" i="14" s="1"/>
  <c r="K144" i="14" s="1"/>
  <c r="H147" i="14"/>
  <c r="H146" i="14" s="1"/>
  <c r="H145" i="14" s="1"/>
  <c r="J146" i="14"/>
  <c r="J145" i="14" s="1"/>
  <c r="J144" i="14" s="1"/>
  <c r="I146" i="14"/>
  <c r="I145" i="14" s="1"/>
  <c r="I144" i="14" s="1"/>
  <c r="G146" i="14"/>
  <c r="G145" i="14" s="1"/>
  <c r="F146" i="14"/>
  <c r="F145" i="14" s="1"/>
  <c r="F144" i="14" s="1"/>
  <c r="M142" i="14"/>
  <c r="H142" i="14"/>
  <c r="N142" i="14" s="1"/>
  <c r="R142" i="14" s="1"/>
  <c r="N141" i="14"/>
  <c r="R141" i="14" s="1"/>
  <c r="M141" i="14"/>
  <c r="N140" i="14"/>
  <c r="R140" i="14" s="1"/>
  <c r="M140" i="14"/>
  <c r="N139" i="14"/>
  <c r="R139" i="14" s="1"/>
  <c r="M139" i="14"/>
  <c r="M138" i="14"/>
  <c r="L138" i="14"/>
  <c r="H138" i="14"/>
  <c r="N138" i="14" s="1"/>
  <c r="R138" i="14" s="1"/>
  <c r="M137" i="14"/>
  <c r="L137" i="14"/>
  <c r="H137" i="14"/>
  <c r="N137" i="14" s="1"/>
  <c r="R137" i="14" s="1"/>
  <c r="G136" i="14"/>
  <c r="L135" i="14"/>
  <c r="G135" i="14"/>
  <c r="H135" i="14" s="1"/>
  <c r="N135" i="14" s="1"/>
  <c r="R135" i="14" s="1"/>
  <c r="M134" i="14"/>
  <c r="M133" i="14" s="1"/>
  <c r="M132" i="14" s="1"/>
  <c r="L134" i="14"/>
  <c r="H134" i="14"/>
  <c r="H133" i="14" s="1"/>
  <c r="H132" i="14" s="1"/>
  <c r="K133" i="14"/>
  <c r="K132" i="14" s="1"/>
  <c r="I133" i="14"/>
  <c r="I132" i="14" s="1"/>
  <c r="G133" i="14"/>
  <c r="G132" i="14" s="1"/>
  <c r="F133" i="14"/>
  <c r="F132" i="14" s="1"/>
  <c r="M131" i="14"/>
  <c r="L131" i="14"/>
  <c r="H131" i="14"/>
  <c r="N131" i="14" s="1"/>
  <c r="R131" i="14" s="1"/>
  <c r="M130" i="14"/>
  <c r="H130" i="14"/>
  <c r="M129" i="14"/>
  <c r="L129" i="14"/>
  <c r="H129" i="14"/>
  <c r="N129" i="14" s="1"/>
  <c r="R129" i="14" s="1"/>
  <c r="M128" i="14"/>
  <c r="F128" i="14"/>
  <c r="F127" i="14" s="1"/>
  <c r="L127" i="14" s="1"/>
  <c r="M127" i="14"/>
  <c r="M126" i="14"/>
  <c r="L126" i="14"/>
  <c r="H126" i="14"/>
  <c r="N126" i="14" s="1"/>
  <c r="R126" i="14" s="1"/>
  <c r="M125" i="14"/>
  <c r="L125" i="14"/>
  <c r="H125" i="14"/>
  <c r="N125" i="14" s="1"/>
  <c r="R125" i="14" s="1"/>
  <c r="K124" i="14"/>
  <c r="K123" i="14" s="1"/>
  <c r="I124" i="14"/>
  <c r="I123" i="14" s="1"/>
  <c r="G124" i="14"/>
  <c r="G123" i="14" s="1"/>
  <c r="F124" i="14"/>
  <c r="F123" i="14" s="1"/>
  <c r="J122" i="14"/>
  <c r="M121" i="14"/>
  <c r="M120" i="14" s="1"/>
  <c r="M119" i="14" s="1"/>
  <c r="L121" i="14"/>
  <c r="H121" i="14"/>
  <c r="N121" i="14" s="1"/>
  <c r="K120" i="14"/>
  <c r="K119" i="14" s="1"/>
  <c r="I120" i="14"/>
  <c r="I119" i="14" s="1"/>
  <c r="G120" i="14"/>
  <c r="G119" i="14" s="1"/>
  <c r="F120" i="14"/>
  <c r="F119" i="14" s="1"/>
  <c r="N118" i="14"/>
  <c r="M118" i="14"/>
  <c r="M117" i="14" s="1"/>
  <c r="L118" i="14"/>
  <c r="L117" i="14" s="1"/>
  <c r="K117" i="14"/>
  <c r="I117" i="14"/>
  <c r="H117" i="14"/>
  <c r="G117" i="14"/>
  <c r="F117" i="14"/>
  <c r="M116" i="14"/>
  <c r="M115" i="14" s="1"/>
  <c r="L116" i="14"/>
  <c r="L115" i="14" s="1"/>
  <c r="K116" i="14"/>
  <c r="N116" i="14" s="1"/>
  <c r="J115" i="14"/>
  <c r="I115" i="14"/>
  <c r="H115" i="14"/>
  <c r="G115" i="14"/>
  <c r="F115" i="14"/>
  <c r="M114" i="14"/>
  <c r="L114" i="14"/>
  <c r="K114" i="14"/>
  <c r="H114" i="14"/>
  <c r="M113" i="14"/>
  <c r="L113" i="14"/>
  <c r="K113" i="14"/>
  <c r="H113" i="14"/>
  <c r="J112" i="14"/>
  <c r="I112" i="14"/>
  <c r="G112" i="14"/>
  <c r="F112" i="14"/>
  <c r="M109" i="14"/>
  <c r="M108" i="14" s="1"/>
  <c r="L109" i="14"/>
  <c r="L108" i="14" s="1"/>
  <c r="K109" i="14"/>
  <c r="N109" i="14" s="1"/>
  <c r="H109" i="14"/>
  <c r="H108" i="14" s="1"/>
  <c r="J108" i="14"/>
  <c r="J101" i="14" s="1"/>
  <c r="J100" i="14" s="1"/>
  <c r="I108" i="14"/>
  <c r="G108" i="14"/>
  <c r="G101" i="14" s="1"/>
  <c r="G100" i="14" s="1"/>
  <c r="F108" i="14"/>
  <c r="N107" i="14"/>
  <c r="R107" i="14" s="1"/>
  <c r="M107" i="14"/>
  <c r="L107" i="14"/>
  <c r="M106" i="14"/>
  <c r="H106" i="14"/>
  <c r="N106" i="14" s="1"/>
  <c r="R106" i="14" s="1"/>
  <c r="F106" i="14"/>
  <c r="L106" i="14" s="1"/>
  <c r="M105" i="14"/>
  <c r="L105" i="14"/>
  <c r="H105" i="14"/>
  <c r="N105" i="14" s="1"/>
  <c r="R105" i="14" s="1"/>
  <c r="M104" i="14"/>
  <c r="K104" i="14"/>
  <c r="I104" i="14"/>
  <c r="F104" i="14"/>
  <c r="H104" i="14" s="1"/>
  <c r="M103" i="14"/>
  <c r="L103" i="14"/>
  <c r="H103" i="14"/>
  <c r="N103" i="14" s="1"/>
  <c r="R103" i="14" s="1"/>
  <c r="M102" i="14"/>
  <c r="L102" i="14"/>
  <c r="H102" i="14"/>
  <c r="N102" i="14" s="1"/>
  <c r="R102" i="14" s="1"/>
  <c r="M98" i="14"/>
  <c r="M97" i="14" s="1"/>
  <c r="M96" i="14" s="1"/>
  <c r="M95" i="14" s="1"/>
  <c r="H98" i="14"/>
  <c r="N98" i="14" s="1"/>
  <c r="L97" i="14"/>
  <c r="K97" i="14"/>
  <c r="K96" i="14" s="1"/>
  <c r="K95" i="14" s="1"/>
  <c r="I97" i="14"/>
  <c r="I96" i="14" s="1"/>
  <c r="I95" i="14" s="1"/>
  <c r="G97" i="14"/>
  <c r="G96" i="14" s="1"/>
  <c r="G95" i="14" s="1"/>
  <c r="F97" i="14"/>
  <c r="F96" i="14" s="1"/>
  <c r="F95" i="14" s="1"/>
  <c r="J95" i="14"/>
  <c r="M94" i="14"/>
  <c r="M93" i="14" s="1"/>
  <c r="M92" i="14" s="1"/>
  <c r="L94" i="14"/>
  <c r="H94" i="14"/>
  <c r="H93" i="14" s="1"/>
  <c r="H92" i="14" s="1"/>
  <c r="K93" i="14"/>
  <c r="K92" i="14" s="1"/>
  <c r="I93" i="14"/>
  <c r="I92" i="14" s="1"/>
  <c r="G93" i="14"/>
  <c r="G92" i="14" s="1"/>
  <c r="F93" i="14"/>
  <c r="F92" i="14" s="1"/>
  <c r="L91" i="14"/>
  <c r="L90" i="14" s="1"/>
  <c r="M91" i="14"/>
  <c r="M90" i="14" s="1"/>
  <c r="M89" i="14" s="1"/>
  <c r="K90" i="14"/>
  <c r="K89" i="14" s="1"/>
  <c r="I90" i="14"/>
  <c r="I89" i="14" s="1"/>
  <c r="F90" i="14"/>
  <c r="F89" i="14" s="1"/>
  <c r="J88" i="14"/>
  <c r="M86" i="14"/>
  <c r="L86" i="14"/>
  <c r="H86" i="14"/>
  <c r="N86" i="14" s="1"/>
  <c r="R86" i="14" s="1"/>
  <c r="M85" i="14"/>
  <c r="F85" i="14"/>
  <c r="H85" i="14" s="1"/>
  <c r="N85" i="14" s="1"/>
  <c r="R85" i="14" s="1"/>
  <c r="M84" i="14"/>
  <c r="L84" i="14"/>
  <c r="H84" i="14"/>
  <c r="N84" i="14" s="1"/>
  <c r="R84" i="14" s="1"/>
  <c r="M83" i="14"/>
  <c r="L83" i="14"/>
  <c r="H83" i="14"/>
  <c r="N83" i="14" s="1"/>
  <c r="R83" i="14" s="1"/>
  <c r="M80" i="14"/>
  <c r="L80" i="14"/>
  <c r="H80" i="14"/>
  <c r="K79" i="14"/>
  <c r="K78" i="14" s="1"/>
  <c r="K77" i="14" s="1"/>
  <c r="I79" i="14"/>
  <c r="I78" i="14" s="1"/>
  <c r="I77" i="14" s="1"/>
  <c r="G79" i="14"/>
  <c r="G78" i="14" s="1"/>
  <c r="G77" i="14" s="1"/>
  <c r="F79" i="14"/>
  <c r="J77" i="14"/>
  <c r="N75" i="14"/>
  <c r="R75" i="14" s="1"/>
  <c r="M75" i="14"/>
  <c r="L75" i="14"/>
  <c r="M74" i="14"/>
  <c r="L74" i="14"/>
  <c r="H74" i="14"/>
  <c r="N74" i="14" s="1"/>
  <c r="R74" i="14" s="1"/>
  <c r="K73" i="14"/>
  <c r="K72" i="14" s="1"/>
  <c r="I73" i="14"/>
  <c r="I72" i="14" s="1"/>
  <c r="G73" i="14"/>
  <c r="G72" i="14" s="1"/>
  <c r="F73" i="14"/>
  <c r="F72" i="14" s="1"/>
  <c r="N71" i="14"/>
  <c r="R71" i="14" s="1"/>
  <c r="L71" i="14"/>
  <c r="N70" i="14"/>
  <c r="L70" i="14"/>
  <c r="O70" i="14" s="1"/>
  <c r="N69" i="14"/>
  <c r="L69" i="14"/>
  <c r="O69" i="14" s="1"/>
  <c r="N68" i="14"/>
  <c r="M68" i="14"/>
  <c r="M67" i="14" s="1"/>
  <c r="L68" i="14"/>
  <c r="K67" i="14"/>
  <c r="I67" i="14"/>
  <c r="H67" i="14"/>
  <c r="G67" i="14"/>
  <c r="F67" i="14"/>
  <c r="M66" i="14"/>
  <c r="L66" i="14"/>
  <c r="K66" i="14"/>
  <c r="K65" i="14" s="1"/>
  <c r="L65" i="14"/>
  <c r="J65" i="14"/>
  <c r="M65" i="14" s="1"/>
  <c r="M64" i="14"/>
  <c r="M63" i="14" s="1"/>
  <c r="L64" i="14"/>
  <c r="L63" i="14" s="1"/>
  <c r="K64" i="14"/>
  <c r="K63" i="14" s="1"/>
  <c r="H64" i="14"/>
  <c r="H63" i="14" s="1"/>
  <c r="J63" i="14"/>
  <c r="I63" i="14"/>
  <c r="G63" i="14"/>
  <c r="F63" i="14"/>
  <c r="M62" i="14"/>
  <c r="L62" i="14"/>
  <c r="L61" i="14" s="1"/>
  <c r="K62" i="14"/>
  <c r="K61" i="14" s="1"/>
  <c r="H62" i="14"/>
  <c r="J61" i="14"/>
  <c r="I61" i="14"/>
  <c r="G61" i="14"/>
  <c r="F61" i="14"/>
  <c r="M59" i="14"/>
  <c r="L60" i="14"/>
  <c r="L59" i="14" s="1"/>
  <c r="H60" i="14"/>
  <c r="H59" i="14" s="1"/>
  <c r="K59" i="14"/>
  <c r="J59" i="14"/>
  <c r="I59" i="14"/>
  <c r="F59" i="14"/>
  <c r="N58" i="14"/>
  <c r="R58" i="14" s="1"/>
  <c r="M58" i="14"/>
  <c r="L58" i="14"/>
  <c r="M57" i="14"/>
  <c r="L57" i="14"/>
  <c r="K57" i="14"/>
  <c r="H57" i="14"/>
  <c r="F57" i="14"/>
  <c r="F54" i="14" s="1"/>
  <c r="M56" i="14"/>
  <c r="L56" i="14"/>
  <c r="H56" i="14"/>
  <c r="N56" i="14" s="1"/>
  <c r="R56" i="14" s="1"/>
  <c r="M55" i="14"/>
  <c r="L55" i="14"/>
  <c r="K55" i="14"/>
  <c r="H55" i="14"/>
  <c r="J54" i="14"/>
  <c r="I54" i="14"/>
  <c r="G54" i="14"/>
  <c r="N50" i="14"/>
  <c r="R50" i="14" s="1"/>
  <c r="M50" i="14"/>
  <c r="L50" i="14"/>
  <c r="K50" i="14"/>
  <c r="I50" i="14"/>
  <c r="H50" i="14"/>
  <c r="G50" i="14"/>
  <c r="F50" i="14"/>
  <c r="N49" i="14"/>
  <c r="M49" i="14"/>
  <c r="M48" i="14" s="1"/>
  <c r="L49" i="14"/>
  <c r="L48" i="14" s="1"/>
  <c r="K48" i="14"/>
  <c r="I48" i="14"/>
  <c r="H48" i="14"/>
  <c r="G48" i="14"/>
  <c r="F48" i="14"/>
  <c r="M47" i="14"/>
  <c r="L47" i="14"/>
  <c r="L46" i="14" s="1"/>
  <c r="H47" i="14"/>
  <c r="H46" i="14" s="1"/>
  <c r="K46" i="14"/>
  <c r="I46" i="14"/>
  <c r="G46" i="14"/>
  <c r="F46" i="14"/>
  <c r="N40" i="14"/>
  <c r="M40" i="14"/>
  <c r="M39" i="14" s="1"/>
  <c r="M38" i="14" s="1"/>
  <c r="L40" i="14"/>
  <c r="L39" i="14" s="1"/>
  <c r="L38" i="14" s="1"/>
  <c r="K40" i="14"/>
  <c r="K39" i="14" s="1"/>
  <c r="K38" i="14" s="1"/>
  <c r="I40" i="14"/>
  <c r="I39" i="14" s="1"/>
  <c r="I38" i="14" s="1"/>
  <c r="H40" i="14"/>
  <c r="H39" i="14" s="1"/>
  <c r="H38" i="14" s="1"/>
  <c r="G40" i="14"/>
  <c r="G39" i="14" s="1"/>
  <c r="G38" i="14" s="1"/>
  <c r="F40" i="14"/>
  <c r="F39" i="14" s="1"/>
  <c r="F38" i="14" s="1"/>
  <c r="J38" i="14"/>
  <c r="M37" i="14"/>
  <c r="L37" i="14"/>
  <c r="K37" i="14"/>
  <c r="N37" i="14" s="1"/>
  <c r="R37" i="14" s="1"/>
  <c r="J36" i="14"/>
  <c r="J29" i="14" s="1"/>
  <c r="J22" i="14" s="1"/>
  <c r="I36" i="14"/>
  <c r="L36" i="14" s="1"/>
  <c r="O36" i="14" s="1"/>
  <c r="M35" i="14"/>
  <c r="L35" i="14"/>
  <c r="L34" i="14" s="1"/>
  <c r="H35" i="14"/>
  <c r="N35" i="14" s="1"/>
  <c r="K34" i="14"/>
  <c r="I34" i="14"/>
  <c r="G34" i="14"/>
  <c r="F34" i="14"/>
  <c r="M32" i="14"/>
  <c r="L32" i="14"/>
  <c r="K32" i="14"/>
  <c r="K30" i="14" s="1"/>
  <c r="H32" i="14"/>
  <c r="N32" i="14" s="1"/>
  <c r="R32" i="14" s="1"/>
  <c r="M31" i="14"/>
  <c r="L31" i="14"/>
  <c r="H31" i="14"/>
  <c r="J30" i="14"/>
  <c r="I30" i="14"/>
  <c r="G30" i="14"/>
  <c r="F30" i="14"/>
  <c r="M28" i="14"/>
  <c r="L28" i="14"/>
  <c r="L27" i="14" s="1"/>
  <c r="H28" i="14"/>
  <c r="H27" i="14" s="1"/>
  <c r="K27" i="14"/>
  <c r="I27" i="14"/>
  <c r="G27" i="14"/>
  <c r="F27" i="14"/>
  <c r="M26" i="14"/>
  <c r="L26" i="14"/>
  <c r="K26" i="14"/>
  <c r="N26" i="14" s="1"/>
  <c r="R26" i="14" s="1"/>
  <c r="M25" i="14"/>
  <c r="L25" i="14"/>
  <c r="K25" i="14"/>
  <c r="N25" i="14" s="1"/>
  <c r="R25" i="14" s="1"/>
  <c r="J24" i="14"/>
  <c r="I24" i="14"/>
  <c r="G24" i="14"/>
  <c r="F24" i="14"/>
  <c r="N156" i="14" l="1"/>
  <c r="R156" i="14" s="1"/>
  <c r="R157" i="14"/>
  <c r="N304" i="14"/>
  <c r="R304" i="14" s="1"/>
  <c r="R305" i="14"/>
  <c r="O327" i="14"/>
  <c r="R332" i="14"/>
  <c r="N115" i="14"/>
  <c r="R115" i="14" s="1"/>
  <c r="R116" i="14"/>
  <c r="N198" i="14"/>
  <c r="R198" i="14" s="1"/>
  <c r="R199" i="14"/>
  <c r="N39" i="14"/>
  <c r="R40" i="14"/>
  <c r="N97" i="14"/>
  <c r="R98" i="14"/>
  <c r="N368" i="14"/>
  <c r="R368" i="14" s="1"/>
  <c r="R369" i="14"/>
  <c r="N426" i="14"/>
  <c r="R426" i="14" s="1"/>
  <c r="R427" i="14"/>
  <c r="N120" i="14"/>
  <c r="R121" i="14"/>
  <c r="N170" i="14"/>
  <c r="R170" i="14" s="1"/>
  <c r="R171" i="14"/>
  <c r="N231" i="14"/>
  <c r="R232" i="14"/>
  <c r="N261" i="14"/>
  <c r="R262" i="14"/>
  <c r="N280" i="14"/>
  <c r="R281" i="14"/>
  <c r="N302" i="14"/>
  <c r="R303" i="14"/>
  <c r="N323" i="14"/>
  <c r="R324" i="14"/>
  <c r="N108" i="14"/>
  <c r="R108" i="14" s="1"/>
  <c r="R109" i="14"/>
  <c r="N178" i="14"/>
  <c r="R178" i="14" s="1"/>
  <c r="R179" i="14"/>
  <c r="K195" i="14"/>
  <c r="K194" i="14" s="1"/>
  <c r="N48" i="14"/>
  <c r="R48" i="14" s="1"/>
  <c r="R49" i="14"/>
  <c r="G144" i="14"/>
  <c r="N196" i="14"/>
  <c r="R196" i="14" s="1"/>
  <c r="R197" i="14"/>
  <c r="N297" i="14"/>
  <c r="R298" i="14"/>
  <c r="N382" i="14"/>
  <c r="R383" i="14"/>
  <c r="N393" i="14"/>
  <c r="R394" i="14"/>
  <c r="N67" i="14"/>
  <c r="R67" i="14" s="1"/>
  <c r="R68" i="14"/>
  <c r="N277" i="14"/>
  <c r="R278" i="14"/>
  <c r="O52" i="14"/>
  <c r="R69" i="14"/>
  <c r="N270" i="14"/>
  <c r="R270" i="14" s="1"/>
  <c r="R271" i="14"/>
  <c r="N360" i="14"/>
  <c r="R360" i="14" s="1"/>
  <c r="R361" i="14"/>
  <c r="N413" i="14"/>
  <c r="R413" i="14" s="1"/>
  <c r="R414" i="14"/>
  <c r="N237" i="14"/>
  <c r="R238" i="14"/>
  <c r="N256" i="14"/>
  <c r="R257" i="14"/>
  <c r="N294" i="14"/>
  <c r="R294" i="14" s="1"/>
  <c r="R295" i="14"/>
  <c r="N34" i="14"/>
  <c r="R34" i="14" s="1"/>
  <c r="R35" i="14"/>
  <c r="R70" i="14"/>
  <c r="N117" i="14"/>
  <c r="R117" i="14" s="1"/>
  <c r="R118" i="14"/>
  <c r="N246" i="14"/>
  <c r="R247" i="14"/>
  <c r="N405" i="14"/>
  <c r="R405" i="14" s="1"/>
  <c r="R406" i="14"/>
  <c r="N189" i="14"/>
  <c r="R189" i="14" s="1"/>
  <c r="F29" i="14"/>
  <c r="N104" i="14"/>
  <c r="R104" i="14" s="1"/>
  <c r="L112" i="14"/>
  <c r="G204" i="14"/>
  <c r="H128" i="14"/>
  <c r="G122" i="14"/>
  <c r="L128" i="14"/>
  <c r="M188" i="14"/>
  <c r="N185" i="14"/>
  <c r="R185" i="14" s="1"/>
  <c r="K359" i="14"/>
  <c r="I291" i="14"/>
  <c r="I290" i="14" s="1"/>
  <c r="F254" i="14"/>
  <c r="K291" i="14"/>
  <c r="K290" i="14" s="1"/>
  <c r="I336" i="14"/>
  <c r="I335" i="14" s="1"/>
  <c r="I334" i="14" s="1"/>
  <c r="H212" i="14"/>
  <c r="N212" i="14" s="1"/>
  <c r="R212" i="14" s="1"/>
  <c r="G249" i="14"/>
  <c r="G248" i="14" s="1"/>
  <c r="G236" i="14"/>
  <c r="H291" i="14"/>
  <c r="H290" i="14" s="1"/>
  <c r="F195" i="14"/>
  <c r="F194" i="14" s="1"/>
  <c r="H270" i="14"/>
  <c r="F211" i="14"/>
  <c r="H246" i="14"/>
  <c r="H245" i="14" s="1"/>
  <c r="H244" i="14" s="1"/>
  <c r="G373" i="14"/>
  <c r="J87" i="14"/>
  <c r="I158" i="14"/>
  <c r="I152" i="14" s="1"/>
  <c r="I151" i="14" s="1"/>
  <c r="N309" i="14"/>
  <c r="R309" i="14" s="1"/>
  <c r="G152" i="14"/>
  <c r="M152" i="14" s="1"/>
  <c r="M151" i="14" s="1"/>
  <c r="H407" i="14"/>
  <c r="N407" i="14" s="1"/>
  <c r="G336" i="14"/>
  <c r="G335" i="14" s="1"/>
  <c r="N184" i="14"/>
  <c r="R184" i="14" s="1"/>
  <c r="N154" i="14"/>
  <c r="M249" i="14"/>
  <c r="M248" i="14" s="1"/>
  <c r="I313" i="14"/>
  <c r="I312" i="14" s="1"/>
  <c r="F163" i="14"/>
  <c r="F162" i="14" s="1"/>
  <c r="H417" i="14"/>
  <c r="G384" i="14"/>
  <c r="G410" i="14"/>
  <c r="G409" i="14" s="1"/>
  <c r="N130" i="14"/>
  <c r="R130" i="14" s="1"/>
  <c r="M153" i="14"/>
  <c r="I211" i="14"/>
  <c r="N253" i="14"/>
  <c r="M314" i="14"/>
  <c r="J402" i="14"/>
  <c r="I29" i="14"/>
  <c r="N62" i="14"/>
  <c r="I122" i="14"/>
  <c r="K115" i="14"/>
  <c r="I88" i="14"/>
  <c r="I87" i="14" s="1"/>
  <c r="L30" i="14"/>
  <c r="L29" i="14" s="1"/>
  <c r="H120" i="14"/>
  <c r="H119" i="14" s="1"/>
  <c r="L124" i="14"/>
  <c r="M124" i="14"/>
  <c r="M123" i="14" s="1"/>
  <c r="F23" i="14"/>
  <c r="L153" i="14"/>
  <c r="H237" i="14"/>
  <c r="H236" i="14" s="1"/>
  <c r="H235" i="14" s="1"/>
  <c r="L382" i="14"/>
  <c r="N113" i="14"/>
  <c r="R113" i="14" s="1"/>
  <c r="M327" i="14"/>
  <c r="K353" i="14"/>
  <c r="N161" i="14"/>
  <c r="N251" i="14"/>
  <c r="H379" i="14"/>
  <c r="N379" i="14" s="1"/>
  <c r="R379" i="14" s="1"/>
  <c r="K410" i="14"/>
  <c r="K409" i="14" s="1"/>
  <c r="J327" i="14"/>
  <c r="M410" i="14"/>
  <c r="M409" i="14" s="1"/>
  <c r="H419" i="14"/>
  <c r="N419" i="14" s="1"/>
  <c r="R419" i="14" s="1"/>
  <c r="L195" i="14"/>
  <c r="L194" i="14" s="1"/>
  <c r="J219" i="14"/>
  <c r="M291" i="14"/>
  <c r="M290" i="14" s="1"/>
  <c r="K327" i="14"/>
  <c r="K336" i="14"/>
  <c r="K335" i="14" s="1"/>
  <c r="K334" i="14" s="1"/>
  <c r="J53" i="14"/>
  <c r="J52" i="14" s="1"/>
  <c r="J43" i="14" s="1"/>
  <c r="F78" i="14"/>
  <c r="F77" i="14" s="1"/>
  <c r="K112" i="14"/>
  <c r="J263" i="14"/>
  <c r="N289" i="14"/>
  <c r="N293" i="14"/>
  <c r="I163" i="14"/>
  <c r="I162" i="14" s="1"/>
  <c r="L252" i="14"/>
  <c r="F367" i="14"/>
  <c r="F366" i="14" s="1"/>
  <c r="M373" i="14"/>
  <c r="J352" i="14"/>
  <c r="F404" i="14"/>
  <c r="F403" i="14" s="1"/>
  <c r="I23" i="14"/>
  <c r="K54" i="14"/>
  <c r="K53" i="14" s="1"/>
  <c r="K52" i="14" s="1"/>
  <c r="M61" i="14"/>
  <c r="M112" i="14"/>
  <c r="M111" i="14" s="1"/>
  <c r="M110" i="14" s="1"/>
  <c r="G313" i="14"/>
  <c r="G312" i="14" s="1"/>
  <c r="G311" i="14" s="1"/>
  <c r="G367" i="14"/>
  <c r="G366" i="14" s="1"/>
  <c r="G404" i="14"/>
  <c r="G403" i="14" s="1"/>
  <c r="F416" i="14"/>
  <c r="L54" i="14"/>
  <c r="H266" i="14"/>
  <c r="N47" i="14"/>
  <c r="I111" i="14"/>
  <c r="I110" i="14" s="1"/>
  <c r="G211" i="14"/>
  <c r="J221" i="14"/>
  <c r="J220" i="14" s="1"/>
  <c r="I359" i="14"/>
  <c r="I353" i="14" s="1"/>
  <c r="I367" i="14"/>
  <c r="I366" i="14" s="1"/>
  <c r="H367" i="14"/>
  <c r="H366" i="14" s="1"/>
  <c r="M54" i="14"/>
  <c r="N28" i="14"/>
  <c r="N54" i="14"/>
  <c r="R54" i="14" s="1"/>
  <c r="J111" i="14"/>
  <c r="J110" i="14" s="1"/>
  <c r="J99" i="14" s="1"/>
  <c r="N227" i="14"/>
  <c r="R227" i="14" s="1"/>
  <c r="H355" i="14"/>
  <c r="H354" i="14" s="1"/>
  <c r="H413" i="14"/>
  <c r="H410" i="14" s="1"/>
  <c r="H409" i="14" s="1"/>
  <c r="L111" i="14"/>
  <c r="G45" i="14"/>
  <c r="G44" i="14" s="1"/>
  <c r="I45" i="14"/>
  <c r="I44" i="14" s="1"/>
  <c r="L45" i="14"/>
  <c r="L44" i="14" s="1"/>
  <c r="I53" i="14"/>
  <c r="I52" i="14" s="1"/>
  <c r="I43" i="14" s="1"/>
  <c r="G216" i="14"/>
  <c r="N425" i="14"/>
  <c r="R425" i="14" s="1"/>
  <c r="H34" i="14"/>
  <c r="H97" i="14"/>
  <c r="H96" i="14" s="1"/>
  <c r="H95" i="14" s="1"/>
  <c r="N124" i="14"/>
  <c r="F152" i="14"/>
  <c r="F151" i="14" s="1"/>
  <c r="M172" i="14"/>
  <c r="F300" i="14"/>
  <c r="K24" i="14"/>
  <c r="K23" i="14" s="1"/>
  <c r="K45" i="14"/>
  <c r="K44" i="14" s="1"/>
  <c r="H188" i="14"/>
  <c r="H217" i="14"/>
  <c r="N217" i="14" s="1"/>
  <c r="R217" i="14" s="1"/>
  <c r="H160" i="14"/>
  <c r="N167" i="14"/>
  <c r="M222" i="14"/>
  <c r="H250" i="14"/>
  <c r="H249" i="14" s="1"/>
  <c r="H248" i="14" s="1"/>
  <c r="F291" i="14"/>
  <c r="F290" i="14" s="1"/>
  <c r="M342" i="14"/>
  <c r="H396" i="14"/>
  <c r="H395" i="14" s="1"/>
  <c r="K108" i="14"/>
  <c r="K101" i="14" s="1"/>
  <c r="K100" i="14" s="1"/>
  <c r="H153" i="14"/>
  <c r="G291" i="14"/>
  <c r="G290" i="14" s="1"/>
  <c r="M27" i="14"/>
  <c r="N114" i="14"/>
  <c r="R114" i="14" s="1"/>
  <c r="H148" i="14"/>
  <c r="N148" i="14" s="1"/>
  <c r="R148" i="14" s="1"/>
  <c r="H170" i="14"/>
  <c r="H196" i="14"/>
  <c r="J254" i="14"/>
  <c r="G265" i="14"/>
  <c r="G264" i="14" s="1"/>
  <c r="N266" i="14"/>
  <c r="R266" i="14" s="1"/>
  <c r="K300" i="14"/>
  <c r="F336" i="14"/>
  <c r="F335" i="14" s="1"/>
  <c r="F334" i="14" s="1"/>
  <c r="H343" i="14"/>
  <c r="N371" i="14"/>
  <c r="F265" i="14"/>
  <c r="F264" i="14" s="1"/>
  <c r="L347" i="14"/>
  <c r="N397" i="14"/>
  <c r="H101" i="14"/>
  <c r="H100" i="14" s="1"/>
  <c r="K200" i="14"/>
  <c r="F313" i="14"/>
  <c r="F312" i="14" s="1"/>
  <c r="F311" i="14" s="1"/>
  <c r="M404" i="14"/>
  <c r="M403" i="14" s="1"/>
  <c r="L85" i="14"/>
  <c r="H112" i="14"/>
  <c r="H111" i="14" s="1"/>
  <c r="F111" i="14"/>
  <c r="F110" i="14" s="1"/>
  <c r="N175" i="14"/>
  <c r="H385" i="14"/>
  <c r="I425" i="14"/>
  <c r="I415" i="14" s="1"/>
  <c r="N159" i="14"/>
  <c r="N215" i="14"/>
  <c r="R215" i="14" s="1"/>
  <c r="H261" i="14"/>
  <c r="H260" i="14" s="1"/>
  <c r="H259" i="14" s="1"/>
  <c r="H254" i="14" s="1"/>
  <c r="N341" i="14"/>
  <c r="I410" i="14"/>
  <c r="I409" i="14" s="1"/>
  <c r="K36" i="14"/>
  <c r="N36" i="14" s="1"/>
  <c r="R36" i="14" s="1"/>
  <c r="H79" i="14"/>
  <c r="H78" i="14" s="1"/>
  <c r="H77" i="14" s="1"/>
  <c r="F101" i="14"/>
  <c r="F100" i="14" s="1"/>
  <c r="G111" i="14"/>
  <c r="G110" i="14" s="1"/>
  <c r="H124" i="14"/>
  <c r="H123" i="14" s="1"/>
  <c r="K265" i="14"/>
  <c r="K264" i="14" s="1"/>
  <c r="L407" i="14"/>
  <c r="M135" i="14"/>
  <c r="N150" i="14"/>
  <c r="R150" i="14" s="1"/>
  <c r="H423" i="14"/>
  <c r="N423" i="14" s="1"/>
  <c r="R423" i="14" s="1"/>
  <c r="M195" i="14"/>
  <c r="M194" i="14" s="1"/>
  <c r="N195" i="14"/>
  <c r="M34" i="14"/>
  <c r="G29" i="14"/>
  <c r="M164" i="14"/>
  <c r="H164" i="14"/>
  <c r="G195" i="14"/>
  <c r="G194" i="14" s="1"/>
  <c r="H176" i="14"/>
  <c r="H178" i="14"/>
  <c r="G163" i="14"/>
  <c r="G162" i="14" s="1"/>
  <c r="N73" i="14"/>
  <c r="N80" i="14"/>
  <c r="M73" i="14"/>
  <c r="M72" i="14" s="1"/>
  <c r="H73" i="14"/>
  <c r="H72" i="14" s="1"/>
  <c r="L79" i="14"/>
  <c r="G254" i="14"/>
  <c r="M337" i="14"/>
  <c r="M336" i="14" s="1"/>
  <c r="M335" i="14" s="1"/>
  <c r="K254" i="14"/>
  <c r="M24" i="14"/>
  <c r="I300" i="14"/>
  <c r="N355" i="14"/>
  <c r="L296" i="14"/>
  <c r="H300" i="14"/>
  <c r="L24" i="14"/>
  <c r="L23" i="14" s="1"/>
  <c r="M79" i="14"/>
  <c r="M78" i="14" s="1"/>
  <c r="M77" i="14" s="1"/>
  <c r="K122" i="14"/>
  <c r="G300" i="14"/>
  <c r="N101" i="14"/>
  <c r="I372" i="14"/>
  <c r="F122" i="14"/>
  <c r="F204" i="14"/>
  <c r="F200" i="14" s="1"/>
  <c r="I254" i="14"/>
  <c r="K372" i="14"/>
  <c r="N24" i="14"/>
  <c r="H363" i="14"/>
  <c r="H359" i="14" s="1"/>
  <c r="H353" i="14" s="1"/>
  <c r="H30" i="14"/>
  <c r="H29" i="14" s="1"/>
  <c r="H441" i="14"/>
  <c r="F53" i="14"/>
  <c r="N63" i="14"/>
  <c r="R63" i="14" s="1"/>
  <c r="K152" i="14"/>
  <c r="K151" i="14" s="1"/>
  <c r="G437" i="14"/>
  <c r="H432" i="14"/>
  <c r="H431" i="14" s="1"/>
  <c r="N418" i="14"/>
  <c r="G359" i="14"/>
  <c r="G353" i="14" s="1"/>
  <c r="F359" i="14"/>
  <c r="F353" i="14" s="1"/>
  <c r="N316" i="14"/>
  <c r="H314" i="14"/>
  <c r="H313" i="14" s="1"/>
  <c r="H312" i="14" s="1"/>
  <c r="H311" i="14" s="1"/>
  <c r="H198" i="14"/>
  <c r="M88" i="14"/>
  <c r="M87" i="14" s="1"/>
  <c r="M46" i="14"/>
  <c r="M45" i="14" s="1"/>
  <c r="H45" i="14"/>
  <c r="H44" i="14" s="1"/>
  <c r="F45" i="14"/>
  <c r="F44" i="14" s="1"/>
  <c r="M30" i="14"/>
  <c r="N31" i="14"/>
  <c r="F22" i="14"/>
  <c r="H24" i="14"/>
  <c r="H23" i="14" s="1"/>
  <c r="G23" i="14"/>
  <c r="G59" i="14"/>
  <c r="G53" i="14" s="1"/>
  <c r="G52" i="14" s="1"/>
  <c r="G43" i="14" s="1"/>
  <c r="H61" i="14"/>
  <c r="H54" i="14"/>
  <c r="N94" i="14"/>
  <c r="L93" i="14"/>
  <c r="L73" i="14"/>
  <c r="H91" i="14"/>
  <c r="G90" i="14"/>
  <c r="G89" i="14" s="1"/>
  <c r="G88" i="14" s="1"/>
  <c r="G87" i="14" s="1"/>
  <c r="K88" i="14"/>
  <c r="K87" i="14" s="1"/>
  <c r="L89" i="14"/>
  <c r="L158" i="14"/>
  <c r="L168" i="14"/>
  <c r="L176" i="14"/>
  <c r="N188" i="14"/>
  <c r="R188" i="14" s="1"/>
  <c r="G200" i="14"/>
  <c r="N203" i="14"/>
  <c r="L202" i="14"/>
  <c r="I224" i="14"/>
  <c r="I219" i="14" s="1"/>
  <c r="L96" i="14"/>
  <c r="L104" i="14"/>
  <c r="I101" i="14"/>
  <c r="I100" i="14" s="1"/>
  <c r="M101" i="14"/>
  <c r="M100" i="14" s="1"/>
  <c r="N134" i="14"/>
  <c r="L133" i="14"/>
  <c r="L205" i="14"/>
  <c r="M216" i="14"/>
  <c r="H216" i="14"/>
  <c r="N216" i="14" s="1"/>
  <c r="R216" i="14" s="1"/>
  <c r="M236" i="14"/>
  <c r="M235" i="14" s="1"/>
  <c r="G235" i="14"/>
  <c r="L236" i="14"/>
  <c r="L291" i="14"/>
  <c r="N321" i="14"/>
  <c r="R321" i="14" s="1"/>
  <c r="K320" i="14"/>
  <c r="L393" i="14"/>
  <c r="N60" i="14"/>
  <c r="N66" i="14"/>
  <c r="R66" i="14" s="1"/>
  <c r="L67" i="14"/>
  <c r="F88" i="14"/>
  <c r="F87" i="14" s="1"/>
  <c r="L120" i="14"/>
  <c r="H127" i="14"/>
  <c r="N127" i="14" s="1"/>
  <c r="R127" i="14" s="1"/>
  <c r="L136" i="14"/>
  <c r="L144" i="14"/>
  <c r="N147" i="14"/>
  <c r="H152" i="14"/>
  <c r="H151" i="14" s="1"/>
  <c r="J163" i="14"/>
  <c r="J162" i="14" s="1"/>
  <c r="J143" i="14" s="1"/>
  <c r="K163" i="14"/>
  <c r="K162" i="14" s="1"/>
  <c r="L166" i="14"/>
  <c r="L170" i="14"/>
  <c r="L174" i="14"/>
  <c r="L178" i="14"/>
  <c r="N205" i="14"/>
  <c r="R205" i="14" s="1"/>
  <c r="H205" i="14"/>
  <c r="H204" i="14" s="1"/>
  <c r="L123" i="14"/>
  <c r="M136" i="14"/>
  <c r="H136" i="14"/>
  <c r="N136" i="14" s="1"/>
  <c r="R136" i="14" s="1"/>
  <c r="L160" i="14"/>
  <c r="K219" i="14"/>
  <c r="M270" i="14"/>
  <c r="L301" i="14"/>
  <c r="L432" i="14"/>
  <c r="F431" i="14"/>
  <c r="F415" i="14" s="1"/>
  <c r="N207" i="14"/>
  <c r="R207" i="14" s="1"/>
  <c r="M211" i="14"/>
  <c r="L249" i="14"/>
  <c r="L256" i="14"/>
  <c r="L259" i="14"/>
  <c r="M272" i="14"/>
  <c r="H272" i="14"/>
  <c r="N272" i="14" s="1"/>
  <c r="R272" i="14" s="1"/>
  <c r="I327" i="14"/>
  <c r="L417" i="14"/>
  <c r="N168" i="14"/>
  <c r="R168" i="14" s="1"/>
  <c r="M204" i="14"/>
  <c r="H214" i="14"/>
  <c r="H211" i="14" s="1"/>
  <c r="N211" i="14" s="1"/>
  <c r="R211" i="14" s="1"/>
  <c r="L214" i="14"/>
  <c r="M226" i="14"/>
  <c r="N226" i="14" s="1"/>
  <c r="R226" i="14" s="1"/>
  <c r="L244" i="14"/>
  <c r="M261" i="14"/>
  <c r="J313" i="14"/>
  <c r="J312" i="14" s="1"/>
  <c r="J311" i="14" s="1"/>
  <c r="M320" i="14"/>
  <c r="M313" i="14" s="1"/>
  <c r="M312" i="14" s="1"/>
  <c r="H346" i="14"/>
  <c r="H345" i="14"/>
  <c r="N345" i="14" s="1"/>
  <c r="R345" i="14" s="1"/>
  <c r="N347" i="14"/>
  <c r="N348" i="14"/>
  <c r="R348" i="14" s="1"/>
  <c r="I200" i="14"/>
  <c r="N222" i="14"/>
  <c r="R222" i="14" s="1"/>
  <c r="G225" i="14"/>
  <c r="H226" i="14"/>
  <c r="H228" i="14"/>
  <c r="N228" i="14" s="1"/>
  <c r="R228" i="14" s="1"/>
  <c r="F225" i="14"/>
  <c r="F224" i="14" s="1"/>
  <c r="F219" i="14" s="1"/>
  <c r="M230" i="14"/>
  <c r="M246" i="14"/>
  <c r="I265" i="14"/>
  <c r="I264" i="14" s="1"/>
  <c r="I263" i="14" s="1"/>
  <c r="L266" i="14"/>
  <c r="L276" i="14"/>
  <c r="L287" i="14"/>
  <c r="N343" i="14"/>
  <c r="R343" i="14" s="1"/>
  <c r="L374" i="14"/>
  <c r="L280" i="14"/>
  <c r="M300" i="14"/>
  <c r="L323" i="14"/>
  <c r="N329" i="14"/>
  <c r="N338" i="14"/>
  <c r="H337" i="14"/>
  <c r="H336" i="14" s="1"/>
  <c r="H335" i="14" s="1"/>
  <c r="K367" i="14"/>
  <c r="K366" i="14" s="1"/>
  <c r="M384" i="14"/>
  <c r="N385" i="14"/>
  <c r="L337" i="14"/>
  <c r="G346" i="14"/>
  <c r="G345" i="14"/>
  <c r="G334" i="14" s="1"/>
  <c r="M334" i="14" s="1"/>
  <c r="M363" i="14"/>
  <c r="N365" i="14"/>
  <c r="R365" i="14" s="1"/>
  <c r="M370" i="14"/>
  <c r="L381" i="14"/>
  <c r="L405" i="14"/>
  <c r="L314" i="14"/>
  <c r="L340" i="14"/>
  <c r="L346" i="14"/>
  <c r="L355" i="14"/>
  <c r="L367" i="14"/>
  <c r="H374" i="14"/>
  <c r="H373" i="14" s="1"/>
  <c r="N378" i="14"/>
  <c r="L384" i="14"/>
  <c r="M437" i="14"/>
  <c r="N330" i="14"/>
  <c r="R330" i="14" s="1"/>
  <c r="L329" i="14"/>
  <c r="L359" i="14"/>
  <c r="F373" i="14"/>
  <c r="F372" i="14" s="1"/>
  <c r="F352" i="14" s="1"/>
  <c r="H384" i="14"/>
  <c r="L396" i="14"/>
  <c r="F395" i="14"/>
  <c r="L426" i="14"/>
  <c r="N410" i="14"/>
  <c r="M417" i="14"/>
  <c r="M416" i="14" s="1"/>
  <c r="G416" i="14"/>
  <c r="G415" i="14" s="1"/>
  <c r="L413" i="14"/>
  <c r="K415" i="14"/>
  <c r="M433" i="14"/>
  <c r="M432" i="14" s="1"/>
  <c r="M431" i="14" s="1"/>
  <c r="H388" i="14"/>
  <c r="N388" i="14" s="1"/>
  <c r="R388" i="14" s="1"/>
  <c r="G395" i="14"/>
  <c r="L411" i="14"/>
  <c r="G442" i="14"/>
  <c r="G87" i="13"/>
  <c r="H110" i="14" l="1"/>
  <c r="N374" i="14"/>
  <c r="R374" i="14" s="1"/>
  <c r="R378" i="14"/>
  <c r="N79" i="14"/>
  <c r="R80" i="14"/>
  <c r="N166" i="14"/>
  <c r="R166" i="14" s="1"/>
  <c r="R167" i="14"/>
  <c r="N27" i="14"/>
  <c r="R27" i="14" s="1"/>
  <c r="R28" i="14"/>
  <c r="N153" i="14"/>
  <c r="R153" i="14" s="1"/>
  <c r="R154" i="14"/>
  <c r="N392" i="14"/>
  <c r="R393" i="14"/>
  <c r="N230" i="14"/>
  <c r="R230" i="14" s="1"/>
  <c r="R231" i="14"/>
  <c r="N38" i="14"/>
  <c r="R38" i="14" s="1"/>
  <c r="R39" i="14"/>
  <c r="N72" i="14"/>
  <c r="R72" i="14" s="1"/>
  <c r="R73" i="14"/>
  <c r="N396" i="14"/>
  <c r="R397" i="14"/>
  <c r="N409" i="14"/>
  <c r="R409" i="14" s="1"/>
  <c r="R410" i="14"/>
  <c r="N314" i="14"/>
  <c r="R314" i="14" s="1"/>
  <c r="R316" i="14"/>
  <c r="R24" i="14"/>
  <c r="N158" i="14"/>
  <c r="R158" i="14" s="1"/>
  <c r="R159" i="14"/>
  <c r="N292" i="14"/>
  <c r="R293" i="14"/>
  <c r="N252" i="14"/>
  <c r="R252" i="14" s="1"/>
  <c r="R253" i="14"/>
  <c r="N381" i="14"/>
  <c r="R381" i="14" s="1"/>
  <c r="R382" i="14"/>
  <c r="N354" i="14"/>
  <c r="R354" i="14" s="1"/>
  <c r="R355" i="14"/>
  <c r="N288" i="14"/>
  <c r="R289" i="14"/>
  <c r="N404" i="14"/>
  <c r="R407" i="14"/>
  <c r="N384" i="14"/>
  <c r="R384" i="14" s="1"/>
  <c r="R385" i="14"/>
  <c r="N59" i="14"/>
  <c r="R59" i="14" s="1"/>
  <c r="R60" i="14"/>
  <c r="N133" i="14"/>
  <c r="R134" i="14"/>
  <c r="N370" i="14"/>
  <c r="R371" i="14"/>
  <c r="N296" i="14"/>
  <c r="R296" i="14" s="1"/>
  <c r="R297" i="14"/>
  <c r="N322" i="14"/>
  <c r="R322" i="14" s="1"/>
  <c r="R323" i="14"/>
  <c r="N119" i="14"/>
  <c r="R119" i="14" s="1"/>
  <c r="R120" i="14"/>
  <c r="N346" i="14"/>
  <c r="R347" i="14"/>
  <c r="N417" i="14"/>
  <c r="R418" i="14"/>
  <c r="N174" i="14"/>
  <c r="R174" i="14" s="1"/>
  <c r="R175" i="14"/>
  <c r="N30" i="14"/>
  <c r="R31" i="14"/>
  <c r="N250" i="14"/>
  <c r="R250" i="14" s="1"/>
  <c r="R251" i="14"/>
  <c r="N301" i="14"/>
  <c r="R302" i="14"/>
  <c r="N160" i="14"/>
  <c r="R160" i="14" s="1"/>
  <c r="R161" i="14"/>
  <c r="O311" i="14"/>
  <c r="N337" i="14"/>
  <c r="R338" i="14"/>
  <c r="N146" i="14"/>
  <c r="R147" i="14"/>
  <c r="G372" i="14"/>
  <c r="N255" i="14"/>
  <c r="R256" i="14"/>
  <c r="N276" i="14"/>
  <c r="R276" i="14" s="1"/>
  <c r="R277" i="14"/>
  <c r="N279" i="14"/>
  <c r="R279" i="14" s="1"/>
  <c r="R280" i="14"/>
  <c r="N328" i="14"/>
  <c r="R329" i="14"/>
  <c r="N123" i="14"/>
  <c r="R123" i="14" s="1"/>
  <c r="R124" i="14"/>
  <c r="H404" i="14"/>
  <c r="H403" i="14" s="1"/>
  <c r="N194" i="14"/>
  <c r="R194" i="14" s="1"/>
  <c r="R195" i="14"/>
  <c r="I402" i="14"/>
  <c r="N61" i="14"/>
  <c r="R61" i="14" s="1"/>
  <c r="R62" i="14"/>
  <c r="N236" i="14"/>
  <c r="R237" i="14"/>
  <c r="N260" i="14"/>
  <c r="R261" i="14"/>
  <c r="N96" i="14"/>
  <c r="R97" i="14"/>
  <c r="N202" i="14"/>
  <c r="R203" i="14"/>
  <c r="N93" i="14"/>
  <c r="R94" i="14"/>
  <c r="N437" i="14"/>
  <c r="R437" i="14" s="1"/>
  <c r="R441" i="14"/>
  <c r="N340" i="14"/>
  <c r="R340" i="14" s="1"/>
  <c r="R341" i="14"/>
  <c r="N245" i="14"/>
  <c r="R246" i="14"/>
  <c r="G99" i="14"/>
  <c r="N100" i="14"/>
  <c r="R100" i="14" s="1"/>
  <c r="R101" i="14"/>
  <c r="H265" i="14"/>
  <c r="H264" i="14" s="1"/>
  <c r="H263" i="14" s="1"/>
  <c r="L78" i="14"/>
  <c r="F402" i="14"/>
  <c r="K352" i="14"/>
  <c r="M311" i="14"/>
  <c r="L211" i="14"/>
  <c r="K111" i="14"/>
  <c r="K110" i="14" s="1"/>
  <c r="K99" i="14" s="1"/>
  <c r="G151" i="14"/>
  <c r="G143" i="14" s="1"/>
  <c r="K402" i="14"/>
  <c r="M220" i="14"/>
  <c r="K220" i="14"/>
  <c r="N220" i="14" s="1"/>
  <c r="R220" i="14" s="1"/>
  <c r="G22" i="14"/>
  <c r="K263" i="14"/>
  <c r="H416" i="14"/>
  <c r="H415" i="14" s="1"/>
  <c r="M53" i="14"/>
  <c r="M372" i="14"/>
  <c r="N373" i="14"/>
  <c r="I311" i="14"/>
  <c r="N152" i="14"/>
  <c r="K143" i="14"/>
  <c r="N249" i="14"/>
  <c r="I22" i="14"/>
  <c r="G402" i="14"/>
  <c r="I352" i="14"/>
  <c r="I143" i="14"/>
  <c r="M52" i="14"/>
  <c r="N112" i="14"/>
  <c r="M29" i="14"/>
  <c r="M122" i="14"/>
  <c r="M99" i="14" s="1"/>
  <c r="L53" i="14"/>
  <c r="M23" i="14"/>
  <c r="K43" i="14"/>
  <c r="N46" i="14"/>
  <c r="N45" i="14" s="1"/>
  <c r="O47" i="14"/>
  <c r="L345" i="14"/>
  <c r="O346" i="14"/>
  <c r="R346" i="14" s="1"/>
  <c r="M265" i="14"/>
  <c r="M264" i="14" s="1"/>
  <c r="M263" i="14" s="1"/>
  <c r="F99" i="14"/>
  <c r="H195" i="14"/>
  <c r="H194" i="14" s="1"/>
  <c r="K29" i="14"/>
  <c r="K22" i="14" s="1"/>
  <c r="F143" i="14"/>
  <c r="F52" i="14"/>
  <c r="F43" i="14" s="1"/>
  <c r="F263" i="14"/>
  <c r="K221" i="14"/>
  <c r="M221" i="14"/>
  <c r="N221" i="14" s="1"/>
  <c r="R221" i="14" s="1"/>
  <c r="N204" i="14"/>
  <c r="N265" i="14"/>
  <c r="H144" i="14"/>
  <c r="I99" i="14"/>
  <c r="G352" i="14"/>
  <c r="M163" i="14"/>
  <c r="M162" i="14" s="1"/>
  <c r="G219" i="14"/>
  <c r="M219" i="14" s="1"/>
  <c r="H163" i="14"/>
  <c r="H162" i="14" s="1"/>
  <c r="H437" i="14"/>
  <c r="L219" i="14"/>
  <c r="G263" i="14"/>
  <c r="H22" i="14"/>
  <c r="J21" i="14"/>
  <c r="J20" i="14" s="1"/>
  <c r="H200" i="14"/>
  <c r="N432" i="14"/>
  <c r="R432" i="14" s="1"/>
  <c r="M200" i="14"/>
  <c r="M44" i="14"/>
  <c r="H442" i="14"/>
  <c r="R442" i="14" s="1"/>
  <c r="M442" i="14"/>
  <c r="L425" i="14"/>
  <c r="L328" i="14"/>
  <c r="L336" i="14"/>
  <c r="L119" i="14"/>
  <c r="L392" i="14"/>
  <c r="L163" i="14"/>
  <c r="L201" i="14"/>
  <c r="H53" i="14"/>
  <c r="L313" i="14"/>
  <c r="M367" i="14"/>
  <c r="M366" i="14" s="1"/>
  <c r="L322" i="14"/>
  <c r="L373" i="14"/>
  <c r="L286" i="14"/>
  <c r="L265" i="14"/>
  <c r="L416" i="14"/>
  <c r="L300" i="14"/>
  <c r="L152" i="14"/>
  <c r="L290" i="14"/>
  <c r="L132" i="14"/>
  <c r="L95" i="14"/>
  <c r="L101" i="14"/>
  <c r="N90" i="14"/>
  <c r="H90" i="14"/>
  <c r="H89" i="14" s="1"/>
  <c r="H88" i="14" s="1"/>
  <c r="H87" i="14" s="1"/>
  <c r="L22" i="14"/>
  <c r="L410" i="14"/>
  <c r="M415" i="14"/>
  <c r="M402" i="14" s="1"/>
  <c r="H372" i="14"/>
  <c r="H352" i="14" s="1"/>
  <c r="L354" i="14"/>
  <c r="L404" i="14"/>
  <c r="H334" i="14"/>
  <c r="M245" i="14"/>
  <c r="M225" i="14"/>
  <c r="M224" i="14" s="1"/>
  <c r="H225" i="14"/>
  <c r="G224" i="14"/>
  <c r="H224" i="14" s="1"/>
  <c r="H219" i="14" s="1"/>
  <c r="N219" i="14" s="1"/>
  <c r="R219" i="14" s="1"/>
  <c r="N214" i="14"/>
  <c r="R214" i="14" s="1"/>
  <c r="L248" i="14"/>
  <c r="N65" i="14"/>
  <c r="R65" i="14" s="1"/>
  <c r="L224" i="14"/>
  <c r="L72" i="14"/>
  <c r="L92" i="14"/>
  <c r="L77" i="14"/>
  <c r="L395" i="14"/>
  <c r="L366" i="14"/>
  <c r="N363" i="14"/>
  <c r="M359" i="14"/>
  <c r="M353" i="14" s="1"/>
  <c r="L279" i="14"/>
  <c r="M260" i="14"/>
  <c r="L255" i="14"/>
  <c r="L431" i="14"/>
  <c r="H122" i="14"/>
  <c r="H99" i="14" s="1"/>
  <c r="K313" i="14"/>
  <c r="N320" i="14"/>
  <c r="R320" i="14" s="1"/>
  <c r="L235" i="14"/>
  <c r="L204" i="14"/>
  <c r="L225" i="14"/>
  <c r="H21" i="13"/>
  <c r="H361" i="13"/>
  <c r="N89" i="14" l="1"/>
  <c r="R90" i="14"/>
  <c r="N151" i="14"/>
  <c r="R151" i="14" s="1"/>
  <c r="R152" i="14"/>
  <c r="N336" i="14"/>
  <c r="R337" i="14"/>
  <c r="N244" i="14"/>
  <c r="R244" i="14" s="1"/>
  <c r="R245" i="14"/>
  <c r="N259" i="14"/>
  <c r="R259" i="14" s="1"/>
  <c r="R260" i="14"/>
  <c r="N327" i="14"/>
  <c r="R327" i="14" s="1"/>
  <c r="R328" i="14"/>
  <c r="N367" i="14"/>
  <c r="R370" i="14"/>
  <c r="N391" i="14"/>
  <c r="R391" i="14" s="1"/>
  <c r="R392" i="14"/>
  <c r="N111" i="14"/>
  <c r="R112" i="14"/>
  <c r="N372" i="14"/>
  <c r="R372" i="14" s="1"/>
  <c r="R373" i="14"/>
  <c r="N235" i="14"/>
  <c r="R235" i="14" s="1"/>
  <c r="R236" i="14"/>
  <c r="N416" i="14"/>
  <c r="R416" i="14" s="1"/>
  <c r="R417" i="14"/>
  <c r="N132" i="14"/>
  <c r="R133" i="14"/>
  <c r="N264" i="14"/>
  <c r="R265" i="14"/>
  <c r="N395" i="14"/>
  <c r="R395" i="14" s="1"/>
  <c r="R396" i="14"/>
  <c r="R204" i="14"/>
  <c r="O46" i="14"/>
  <c r="R47" i="14"/>
  <c r="R301" i="14"/>
  <c r="N300" i="14"/>
  <c r="R300" i="14" s="1"/>
  <c r="N92" i="14"/>
  <c r="R92" i="14" s="1"/>
  <c r="R93" i="14"/>
  <c r="R255" i="14"/>
  <c r="N291" i="14"/>
  <c r="R292" i="14"/>
  <c r="N359" i="14"/>
  <c r="R363" i="14"/>
  <c r="N248" i="14"/>
  <c r="R248" i="14" s="1"/>
  <c r="R249" i="14"/>
  <c r="N201" i="14"/>
  <c r="R201" i="14" s="1"/>
  <c r="R202" i="14"/>
  <c r="N403" i="14"/>
  <c r="R403" i="14" s="1"/>
  <c r="R404" i="14"/>
  <c r="N78" i="14"/>
  <c r="R79" i="14"/>
  <c r="N145" i="14"/>
  <c r="R146" i="14"/>
  <c r="N163" i="14"/>
  <c r="N95" i="14"/>
  <c r="R95" i="14" s="1"/>
  <c r="R96" i="14"/>
  <c r="N29" i="14"/>
  <c r="R29" i="14" s="1"/>
  <c r="R30" i="14"/>
  <c r="N287" i="14"/>
  <c r="R288" i="14"/>
  <c r="N23" i="14"/>
  <c r="N44" i="14"/>
  <c r="L52" i="14"/>
  <c r="M22" i="14"/>
  <c r="I21" i="14"/>
  <c r="I20" i="14" s="1"/>
  <c r="F21" i="14"/>
  <c r="F20" i="14" s="1"/>
  <c r="H402" i="14"/>
  <c r="H143" i="14"/>
  <c r="G21" i="14"/>
  <c r="G20" i="14" s="1"/>
  <c r="M143" i="14"/>
  <c r="N431" i="14"/>
  <c r="L122" i="14"/>
  <c r="M43" i="14"/>
  <c r="L254" i="14"/>
  <c r="L43" i="14"/>
  <c r="L151" i="14"/>
  <c r="L312" i="14"/>
  <c r="L200" i="14"/>
  <c r="N225" i="14"/>
  <c r="R225" i="14" s="1"/>
  <c r="M244" i="14"/>
  <c r="L88" i="14"/>
  <c r="N53" i="14"/>
  <c r="R53" i="14" s="1"/>
  <c r="H52" i="14"/>
  <c r="H43" i="14" s="1"/>
  <c r="L162" i="14"/>
  <c r="N224" i="14"/>
  <c r="R224" i="14" s="1"/>
  <c r="L353" i="14"/>
  <c r="L409" i="14"/>
  <c r="L264" i="14"/>
  <c r="K312" i="14"/>
  <c r="K311" i="14" s="1"/>
  <c r="K21" i="14" s="1"/>
  <c r="K20" i="14" s="1"/>
  <c r="N313" i="14"/>
  <c r="M259" i="14"/>
  <c r="M352" i="14"/>
  <c r="L403" i="14"/>
  <c r="L100" i="14"/>
  <c r="L372" i="14"/>
  <c r="L110" i="14"/>
  <c r="L327" i="14"/>
  <c r="L415" i="14"/>
  <c r="L391" i="14"/>
  <c r="L335" i="14"/>
  <c r="G429" i="13"/>
  <c r="G430" i="13"/>
  <c r="O45" i="14" l="1"/>
  <c r="R46" i="14"/>
  <c r="N353" i="14"/>
  <c r="R359" i="14"/>
  <c r="N200" i="14"/>
  <c r="R200" i="14" s="1"/>
  <c r="N290" i="14"/>
  <c r="R290" i="14" s="1"/>
  <c r="R291" i="14"/>
  <c r="N254" i="14"/>
  <c r="R254" i="14" s="1"/>
  <c r="N110" i="14"/>
  <c r="R111" i="14"/>
  <c r="N335" i="14"/>
  <c r="R336" i="14"/>
  <c r="R145" i="14"/>
  <c r="N144" i="14"/>
  <c r="N77" i="14"/>
  <c r="R77" i="14" s="1"/>
  <c r="R78" i="14"/>
  <c r="R264" i="14"/>
  <c r="N162" i="14"/>
  <c r="R162" i="14" s="1"/>
  <c r="R163" i="14"/>
  <c r="R23" i="14"/>
  <c r="N22" i="14"/>
  <c r="R22" i="14" s="1"/>
  <c r="N415" i="14"/>
  <c r="R415" i="14" s="1"/>
  <c r="R431" i="14"/>
  <c r="R132" i="14"/>
  <c r="N122" i="14"/>
  <c r="R122" i="14" s="1"/>
  <c r="N312" i="14"/>
  <c r="R313" i="14"/>
  <c r="N286" i="14"/>
  <c r="R286" i="14" s="1"/>
  <c r="R287" i="14"/>
  <c r="N366" i="14"/>
  <c r="R366" i="14" s="1"/>
  <c r="R367" i="14"/>
  <c r="N88" i="14"/>
  <c r="R89" i="14"/>
  <c r="H21" i="14"/>
  <c r="H20" i="14" s="1"/>
  <c r="L402" i="14"/>
  <c r="L143" i="14"/>
  <c r="N52" i="14"/>
  <c r="L311" i="14"/>
  <c r="L334" i="14"/>
  <c r="M254" i="14"/>
  <c r="M21" i="14" s="1"/>
  <c r="M20" i="14" s="1"/>
  <c r="L263" i="14"/>
  <c r="L87" i="14"/>
  <c r="L99" i="14"/>
  <c r="L352" i="14"/>
  <c r="N263" i="14" l="1"/>
  <c r="R263" i="14" s="1"/>
  <c r="R335" i="14"/>
  <c r="N334" i="14"/>
  <c r="R334" i="14" s="1"/>
  <c r="N87" i="14"/>
  <c r="R87" i="14" s="1"/>
  <c r="R88" i="14"/>
  <c r="N402" i="14"/>
  <c r="R402" i="14" s="1"/>
  <c r="R110" i="14"/>
  <c r="N99" i="14"/>
  <c r="R99" i="14" s="1"/>
  <c r="R353" i="14"/>
  <c r="N352" i="14"/>
  <c r="R352" i="14" s="1"/>
  <c r="N311" i="14"/>
  <c r="R311" i="14" s="1"/>
  <c r="R312" i="14"/>
  <c r="R144" i="14"/>
  <c r="N143" i="14"/>
  <c r="R143" i="14" s="1"/>
  <c r="N43" i="14"/>
  <c r="R52" i="14"/>
  <c r="O44" i="14"/>
  <c r="R45" i="14"/>
  <c r="L21" i="14"/>
  <c r="M310" i="13"/>
  <c r="G310" i="13"/>
  <c r="M311" i="13"/>
  <c r="H311" i="13"/>
  <c r="N21" i="14" l="1"/>
  <c r="O43" i="14"/>
  <c r="O21" i="14" s="1"/>
  <c r="O20" i="14" s="1"/>
  <c r="R44" i="14"/>
  <c r="N20" i="14"/>
  <c r="L20" i="14"/>
  <c r="G437" i="13"/>
  <c r="R21" i="14" l="1"/>
  <c r="R20" i="14"/>
  <c r="R43" i="14"/>
  <c r="H53" i="13"/>
  <c r="L412" i="13" l="1"/>
  <c r="L400" i="13"/>
  <c r="N369" i="13"/>
  <c r="N368" i="13" s="1"/>
  <c r="L369" i="13"/>
  <c r="F400" i="13"/>
  <c r="F369" i="13"/>
  <c r="F412" i="13"/>
  <c r="H207" i="13"/>
  <c r="F207" i="13"/>
  <c r="L207" i="13" s="1"/>
  <c r="H123" i="12"/>
  <c r="N74" i="13"/>
  <c r="L74" i="13"/>
  <c r="H74" i="13"/>
  <c r="F74" i="13"/>
  <c r="L419" i="13"/>
  <c r="L420" i="13"/>
  <c r="H419" i="13"/>
  <c r="N419" i="13" s="1"/>
  <c r="H420" i="13"/>
  <c r="F419" i="13"/>
  <c r="L403" i="13"/>
  <c r="L404" i="13"/>
  <c r="H403" i="13"/>
  <c r="N403" i="13" s="1"/>
  <c r="N400" i="13" s="1"/>
  <c r="N399" i="13" s="1"/>
  <c r="H404" i="13"/>
  <c r="F403" i="13"/>
  <c r="L375" i="13"/>
  <c r="L376" i="13"/>
  <c r="H376" i="13"/>
  <c r="F375" i="13"/>
  <c r="N367" i="13"/>
  <c r="L367" i="13"/>
  <c r="H367" i="13"/>
  <c r="I207" i="13"/>
  <c r="N210" i="13"/>
  <c r="N211" i="13"/>
  <c r="L210" i="13"/>
  <c r="O210" i="13" s="1"/>
  <c r="L211" i="13"/>
  <c r="K210" i="13"/>
  <c r="K211" i="13"/>
  <c r="I210" i="13"/>
  <c r="H210" i="13"/>
  <c r="H211" i="13"/>
  <c r="F210" i="13"/>
  <c r="L127" i="13"/>
  <c r="H123" i="13"/>
  <c r="F123" i="13"/>
  <c r="F124" i="13"/>
  <c r="L124" i="13" s="1"/>
  <c r="H127" i="13"/>
  <c r="L81" i="13"/>
  <c r="L82" i="13"/>
  <c r="H82" i="13"/>
  <c r="N82" i="13" s="1"/>
  <c r="F81" i="13"/>
  <c r="O469" i="13"/>
  <c r="P469" i="13" s="1"/>
  <c r="O468" i="13"/>
  <c r="P468" i="13" s="1"/>
  <c r="O467" i="13"/>
  <c r="P467" i="13" s="1"/>
  <c r="O466" i="13"/>
  <c r="P466" i="13" s="1"/>
  <c r="O465" i="13"/>
  <c r="P465" i="13" s="1"/>
  <c r="O464" i="13"/>
  <c r="P464" i="13" s="1"/>
  <c r="O463" i="13"/>
  <c r="P463" i="13" s="1"/>
  <c r="O462" i="13"/>
  <c r="P462" i="13" s="1"/>
  <c r="O461" i="13"/>
  <c r="P461" i="13" s="1"/>
  <c r="O460" i="13"/>
  <c r="P460" i="13" s="1"/>
  <c r="O459" i="13"/>
  <c r="P459" i="13" s="1"/>
  <c r="O458" i="13"/>
  <c r="P458" i="13" s="1"/>
  <c r="O457" i="13"/>
  <c r="P457" i="13" s="1"/>
  <c r="O456" i="13"/>
  <c r="P456" i="13" s="1"/>
  <c r="O455" i="13"/>
  <c r="P455" i="13" s="1"/>
  <c r="O454" i="13"/>
  <c r="P454" i="13" s="1"/>
  <c r="O453" i="13"/>
  <c r="P453" i="13" s="1"/>
  <c r="O452" i="13"/>
  <c r="P452" i="13" s="1"/>
  <c r="O451" i="13"/>
  <c r="P451" i="13" s="1"/>
  <c r="O450" i="13"/>
  <c r="P450" i="13" s="1"/>
  <c r="O449" i="13"/>
  <c r="P449" i="13" s="1"/>
  <c r="O448" i="13"/>
  <c r="P448" i="13" s="1"/>
  <c r="O447" i="13"/>
  <c r="P447" i="13" s="1"/>
  <c r="O446" i="13"/>
  <c r="P446" i="13" s="1"/>
  <c r="O445" i="13"/>
  <c r="P445" i="13" s="1"/>
  <c r="O444" i="13"/>
  <c r="P444" i="13" s="1"/>
  <c r="O443" i="13"/>
  <c r="P443" i="13" s="1"/>
  <c r="O442" i="13"/>
  <c r="P442" i="13" s="1"/>
  <c r="O441" i="13"/>
  <c r="P441" i="13" s="1"/>
  <c r="O440" i="13"/>
  <c r="P440" i="13" s="1"/>
  <c r="O439" i="13"/>
  <c r="P439" i="13" s="1"/>
  <c r="O438" i="13"/>
  <c r="P438" i="13" s="1"/>
  <c r="M437" i="13"/>
  <c r="L437" i="13"/>
  <c r="H437" i="13"/>
  <c r="N437" i="13" s="1"/>
  <c r="L436" i="13"/>
  <c r="G436" i="13"/>
  <c r="M436" i="13" s="1"/>
  <c r="L435" i="13"/>
  <c r="G435" i="13"/>
  <c r="H435" i="13" s="1"/>
  <c r="O434" i="13"/>
  <c r="P434" i="13" s="1"/>
  <c r="O433" i="13"/>
  <c r="P433" i="13" s="1"/>
  <c r="I433" i="13"/>
  <c r="P432" i="13"/>
  <c r="O432" i="13"/>
  <c r="N432" i="13"/>
  <c r="I432" i="13"/>
  <c r="I431" i="13" s="1"/>
  <c r="F432" i="13"/>
  <c r="F431" i="13"/>
  <c r="L430" i="13"/>
  <c r="H430" i="13"/>
  <c r="L429" i="13"/>
  <c r="M429" i="13"/>
  <c r="K428" i="13"/>
  <c r="I428" i="13"/>
  <c r="G428" i="13"/>
  <c r="F428" i="13"/>
  <c r="L428" i="13" s="1"/>
  <c r="K427" i="13"/>
  <c r="J427" i="13"/>
  <c r="I427" i="13"/>
  <c r="G427" i="13"/>
  <c r="O426" i="13"/>
  <c r="P426" i="13" s="1"/>
  <c r="N425" i="13"/>
  <c r="M425" i="13"/>
  <c r="L425" i="13"/>
  <c r="L421" i="13" s="1"/>
  <c r="K425" i="13"/>
  <c r="I425" i="13"/>
  <c r="H425" i="13"/>
  <c r="G425" i="13"/>
  <c r="G421" i="13" s="1"/>
  <c r="F425" i="13"/>
  <c r="F421" i="13" s="1"/>
  <c r="N424" i="13"/>
  <c r="M424" i="13"/>
  <c r="L424" i="13"/>
  <c r="O423" i="13"/>
  <c r="N423" i="13"/>
  <c r="N422" i="13" s="1"/>
  <c r="M423" i="13"/>
  <c r="L423" i="13"/>
  <c r="O422" i="13"/>
  <c r="P422" i="13" s="1"/>
  <c r="L422" i="13"/>
  <c r="K422" i="13"/>
  <c r="I422" i="13"/>
  <c r="N421" i="13"/>
  <c r="M421" i="13"/>
  <c r="I421" i="13"/>
  <c r="H421" i="13"/>
  <c r="M420" i="13"/>
  <c r="N420" i="13"/>
  <c r="G419" i="13"/>
  <c r="M419" i="13" s="1"/>
  <c r="O418" i="13"/>
  <c r="M418" i="13"/>
  <c r="L418" i="13"/>
  <c r="H418" i="13"/>
  <c r="N418" i="13" s="1"/>
  <c r="N417" i="13"/>
  <c r="M417" i="13"/>
  <c r="L417" i="13"/>
  <c r="M416" i="13"/>
  <c r="H416" i="13"/>
  <c r="N416" i="13" s="1"/>
  <c r="G415" i="13"/>
  <c r="M414" i="13"/>
  <c r="L414" i="13"/>
  <c r="H414" i="13"/>
  <c r="K413" i="13"/>
  <c r="I413" i="13"/>
  <c r="I412" i="13" s="1"/>
  <c r="I411" i="13" s="1"/>
  <c r="G413" i="13"/>
  <c r="M413" i="13" s="1"/>
  <c r="F413" i="13"/>
  <c r="K412" i="13"/>
  <c r="J412" i="13"/>
  <c r="G412" i="13"/>
  <c r="J411" i="13"/>
  <c r="N410" i="13"/>
  <c r="N409" i="13" s="1"/>
  <c r="M410" i="13"/>
  <c r="M409" i="13" s="1"/>
  <c r="M406" i="13" s="1"/>
  <c r="L410" i="13"/>
  <c r="H410" i="13"/>
  <c r="O409" i="13"/>
  <c r="P409" i="13" s="1"/>
  <c r="L409" i="13"/>
  <c r="K409" i="13"/>
  <c r="I409" i="13"/>
  <c r="H409" i="13"/>
  <c r="G409" i="13"/>
  <c r="F409" i="13"/>
  <c r="N408" i="13"/>
  <c r="N407" i="13" s="1"/>
  <c r="L408" i="13"/>
  <c r="H408" i="13"/>
  <c r="F408" i="13"/>
  <c r="M407" i="13"/>
  <c r="K407" i="13"/>
  <c r="K406" i="13" s="1"/>
  <c r="K405" i="13" s="1"/>
  <c r="I407" i="13"/>
  <c r="H407" i="13"/>
  <c r="G407" i="13"/>
  <c r="F407" i="13"/>
  <c r="F406" i="13" s="1"/>
  <c r="F405" i="13" s="1"/>
  <c r="N406" i="13"/>
  <c r="N405" i="13" s="1"/>
  <c r="J406" i="13"/>
  <c r="J405" i="13" s="1"/>
  <c r="I406" i="13"/>
  <c r="I405" i="13" s="1"/>
  <c r="H406" i="13"/>
  <c r="M405" i="13"/>
  <c r="H405" i="13"/>
  <c r="M404" i="13"/>
  <c r="N404" i="13"/>
  <c r="G403" i="13"/>
  <c r="M403" i="13" s="1"/>
  <c r="O402" i="13"/>
  <c r="M402" i="13"/>
  <c r="L402" i="13"/>
  <c r="H402" i="13"/>
  <c r="N402" i="13" s="1"/>
  <c r="N401" i="13" s="1"/>
  <c r="M401" i="13"/>
  <c r="L401" i="13"/>
  <c r="K401" i="13"/>
  <c r="I401" i="13"/>
  <c r="H401" i="13"/>
  <c r="G401" i="13"/>
  <c r="F401" i="13"/>
  <c r="K400" i="13"/>
  <c r="K399" i="13" s="1"/>
  <c r="J400" i="13"/>
  <c r="I400" i="13"/>
  <c r="G400" i="13"/>
  <c r="G399" i="13" s="1"/>
  <c r="F399" i="13"/>
  <c r="F398" i="13" s="1"/>
  <c r="F16" i="13" s="1"/>
  <c r="J399" i="13"/>
  <c r="J398" i="13" s="1"/>
  <c r="I399" i="13"/>
  <c r="I398" i="13" s="1"/>
  <c r="O397" i="13"/>
  <c r="P397" i="13" s="1"/>
  <c r="M397" i="13"/>
  <c r="L397" i="13"/>
  <c r="H397" i="13"/>
  <c r="N397" i="13" s="1"/>
  <c r="N396" i="13"/>
  <c r="M396" i="13"/>
  <c r="L396" i="13"/>
  <c r="H396" i="13"/>
  <c r="M395" i="13"/>
  <c r="L395" i="13"/>
  <c r="O395" i="13" s="1"/>
  <c r="H395" i="13"/>
  <c r="N394" i="13"/>
  <c r="M394" i="13"/>
  <c r="M393" i="13" s="1"/>
  <c r="L394" i="13"/>
  <c r="O394" i="13" s="1"/>
  <c r="P394" i="13" s="1"/>
  <c r="H394" i="13"/>
  <c r="K393" i="13"/>
  <c r="K392" i="13" s="1"/>
  <c r="I393" i="13"/>
  <c r="G393" i="13"/>
  <c r="G392" i="13" s="1"/>
  <c r="F393" i="13"/>
  <c r="F392" i="13" s="1"/>
  <c r="M392" i="13"/>
  <c r="M391" i="13" s="1"/>
  <c r="I392" i="13"/>
  <c r="I391" i="13" s="1"/>
  <c r="K391" i="13"/>
  <c r="J391" i="13"/>
  <c r="G391" i="13"/>
  <c r="O390" i="13"/>
  <c r="M390" i="13"/>
  <c r="L390" i="13"/>
  <c r="H390" i="13"/>
  <c r="H389" i="13" s="1"/>
  <c r="H388" i="13" s="1"/>
  <c r="H387" i="13" s="1"/>
  <c r="M389" i="13"/>
  <c r="M388" i="13" s="1"/>
  <c r="M387" i="13" s="1"/>
  <c r="L389" i="13"/>
  <c r="K389" i="13"/>
  <c r="I389" i="13"/>
  <c r="G389" i="13"/>
  <c r="G388" i="13" s="1"/>
  <c r="G387" i="13" s="1"/>
  <c r="F389" i="13"/>
  <c r="K388" i="13"/>
  <c r="K387" i="13" s="1"/>
  <c r="I388" i="13"/>
  <c r="I387" i="13" s="1"/>
  <c r="F388" i="13"/>
  <c r="F387" i="13" s="1"/>
  <c r="J387" i="13"/>
  <c r="O386" i="13"/>
  <c r="P386" i="13" s="1"/>
  <c r="M386" i="13"/>
  <c r="L386" i="13"/>
  <c r="H386" i="13"/>
  <c r="N386" i="13" s="1"/>
  <c r="N385" i="13"/>
  <c r="L385" i="13"/>
  <c r="H385" i="13"/>
  <c r="G385" i="13"/>
  <c r="M385" i="13" s="1"/>
  <c r="M384" i="13"/>
  <c r="O384" i="13" s="1"/>
  <c r="H384" i="13"/>
  <c r="N384" i="13" s="1"/>
  <c r="P384" i="13" s="1"/>
  <c r="G384" i="13"/>
  <c r="O383" i="13"/>
  <c r="P383" i="13" s="1"/>
  <c r="M383" i="13"/>
  <c r="N382" i="13"/>
  <c r="M382" i="13"/>
  <c r="M381" i="13" s="1"/>
  <c r="N381" i="13" s="1"/>
  <c r="L382" i="13"/>
  <c r="H382" i="13"/>
  <c r="P381" i="13"/>
  <c r="O381" i="13"/>
  <c r="L381" i="13"/>
  <c r="L380" i="13" s="1"/>
  <c r="K381" i="13"/>
  <c r="K380" i="13" s="1"/>
  <c r="I381" i="13"/>
  <c r="H381" i="13"/>
  <c r="G381" i="13"/>
  <c r="F381" i="13"/>
  <c r="N380" i="13"/>
  <c r="M380" i="13"/>
  <c r="J380" i="13"/>
  <c r="J368" i="13" s="1"/>
  <c r="I380" i="13"/>
  <c r="H380" i="13"/>
  <c r="F380" i="13"/>
  <c r="M379" i="13"/>
  <c r="M378" i="13" s="1"/>
  <c r="L379" i="13"/>
  <c r="H379" i="13"/>
  <c r="K378" i="13"/>
  <c r="K377" i="13" s="1"/>
  <c r="I378" i="13"/>
  <c r="I377" i="13" s="1"/>
  <c r="H378" i="13"/>
  <c r="G378" i="13"/>
  <c r="F378" i="13"/>
  <c r="F377" i="13" s="1"/>
  <c r="M377" i="13"/>
  <c r="H377" i="13"/>
  <c r="G377" i="13"/>
  <c r="M376" i="13"/>
  <c r="G375" i="13"/>
  <c r="M375" i="13" s="1"/>
  <c r="M374" i="13"/>
  <c r="L374" i="13"/>
  <c r="O374" i="13" s="1"/>
  <c r="P374" i="13" s="1"/>
  <c r="H374" i="13"/>
  <c r="N374" i="13" s="1"/>
  <c r="O371" i="13"/>
  <c r="M371" i="13"/>
  <c r="L371" i="13"/>
  <c r="H371" i="13"/>
  <c r="N371" i="13" s="1"/>
  <c r="N370" i="13" s="1"/>
  <c r="M370" i="13"/>
  <c r="L370" i="13"/>
  <c r="K370" i="13"/>
  <c r="I370" i="13"/>
  <c r="H370" i="13"/>
  <c r="G370" i="13"/>
  <c r="G369" i="13" s="1"/>
  <c r="F370" i="13"/>
  <c r="K369" i="13"/>
  <c r="K368" i="13" s="1"/>
  <c r="I369" i="13"/>
  <c r="I368" i="13"/>
  <c r="H366" i="13"/>
  <c r="L366" i="13"/>
  <c r="K366" i="13"/>
  <c r="I366" i="13"/>
  <c r="F366" i="13"/>
  <c r="O365" i="13"/>
  <c r="P365" i="13" s="1"/>
  <c r="N365" i="13"/>
  <c r="N364" i="13" s="1"/>
  <c r="M365" i="13"/>
  <c r="L365" i="13"/>
  <c r="L364" i="13" s="1"/>
  <c r="M364" i="13"/>
  <c r="K364" i="13"/>
  <c r="I364" i="13"/>
  <c r="H364" i="13"/>
  <c r="G364" i="13"/>
  <c r="F364" i="13"/>
  <c r="K363" i="13"/>
  <c r="K362" i="13" s="1"/>
  <c r="I363" i="13"/>
  <c r="I362" i="13" s="1"/>
  <c r="F363" i="13"/>
  <c r="F362" i="13" s="1"/>
  <c r="J362" i="13"/>
  <c r="M361" i="13"/>
  <c r="O361" i="13" s="1"/>
  <c r="L361" i="13"/>
  <c r="M360" i="13"/>
  <c r="L360" i="13"/>
  <c r="H360" i="13"/>
  <c r="N360" i="13" s="1"/>
  <c r="K359" i="13"/>
  <c r="I359" i="13"/>
  <c r="G359" i="13"/>
  <c r="G355" i="13" s="1"/>
  <c r="G349" i="13" s="1"/>
  <c r="F359" i="13"/>
  <c r="L359" i="13" s="1"/>
  <c r="P358" i="13"/>
  <c r="O358" i="13"/>
  <c r="M357" i="13"/>
  <c r="L357" i="13"/>
  <c r="L356" i="13" s="1"/>
  <c r="O356" i="13" s="1"/>
  <c r="P356" i="13" s="1"/>
  <c r="H357" i="13"/>
  <c r="N357" i="13" s="1"/>
  <c r="N356" i="13"/>
  <c r="M356" i="13"/>
  <c r="K356" i="13"/>
  <c r="I356" i="13"/>
  <c r="I355" i="13" s="1"/>
  <c r="H356" i="13"/>
  <c r="G356" i="13"/>
  <c r="F356" i="13"/>
  <c r="K355" i="13"/>
  <c r="P354" i="13"/>
  <c r="O354" i="13"/>
  <c r="M353" i="13"/>
  <c r="L353" i="13"/>
  <c r="O353" i="13" s="1"/>
  <c r="H353" i="13"/>
  <c r="N352" i="13"/>
  <c r="M352" i="13"/>
  <c r="M351" i="13" s="1"/>
  <c r="M350" i="13" s="1"/>
  <c r="L352" i="13"/>
  <c r="O352" i="13" s="1"/>
  <c r="P352" i="13" s="1"/>
  <c r="H352" i="13"/>
  <c r="L351" i="13"/>
  <c r="L350" i="13" s="1"/>
  <c r="K351" i="13"/>
  <c r="K350" i="13" s="1"/>
  <c r="I351" i="13"/>
  <c r="G351" i="13"/>
  <c r="G350" i="13" s="1"/>
  <c r="F351" i="13"/>
  <c r="F350" i="13" s="1"/>
  <c r="I350" i="13"/>
  <c r="I349" i="13" s="1"/>
  <c r="K349" i="13"/>
  <c r="K348" i="13" s="1"/>
  <c r="J349" i="13"/>
  <c r="J348" i="13"/>
  <c r="N347" i="13"/>
  <c r="L347" i="13"/>
  <c r="O347" i="13" s="1"/>
  <c r="P347" i="13" s="1"/>
  <c r="K347" i="13"/>
  <c r="O346" i="13"/>
  <c r="N346" i="13"/>
  <c r="L346" i="13"/>
  <c r="K346" i="13"/>
  <c r="M345" i="13"/>
  <c r="L345" i="13"/>
  <c r="N345" i="13"/>
  <c r="L344" i="13"/>
  <c r="K344" i="13"/>
  <c r="G343" i="13"/>
  <c r="G342" i="13" s="1"/>
  <c r="F343" i="13"/>
  <c r="L343" i="13" s="1"/>
  <c r="M342" i="13"/>
  <c r="M341" i="13"/>
  <c r="J341" i="13"/>
  <c r="G341" i="13"/>
  <c r="N340" i="13"/>
  <c r="M340" i="13"/>
  <c r="L340" i="13"/>
  <c r="O340" i="13" s="1"/>
  <c r="P340" i="13" s="1"/>
  <c r="H340" i="13"/>
  <c r="H339" i="13"/>
  <c r="G339" i="13"/>
  <c r="M339" i="13" s="1"/>
  <c r="N339" i="13" s="1"/>
  <c r="L338" i="13"/>
  <c r="G338" i="13"/>
  <c r="H338" i="13" s="1"/>
  <c r="N338" i="13" s="1"/>
  <c r="M337" i="13"/>
  <c r="M336" i="13" s="1"/>
  <c r="L337" i="13"/>
  <c r="O337" i="13" s="1"/>
  <c r="P337" i="13" s="1"/>
  <c r="K337" i="13"/>
  <c r="N337" i="13" s="1"/>
  <c r="N336" i="13" s="1"/>
  <c r="H337" i="13"/>
  <c r="L336" i="13"/>
  <c r="O336" i="13" s="1"/>
  <c r="P336" i="13" s="1"/>
  <c r="K336" i="13"/>
  <c r="I336" i="13"/>
  <c r="H336" i="13"/>
  <c r="G336" i="13"/>
  <c r="F336" i="13"/>
  <c r="M335" i="13"/>
  <c r="L335" i="13"/>
  <c r="L333" i="13" s="1"/>
  <c r="H335" i="13"/>
  <c r="N335" i="13" s="1"/>
  <c r="M334" i="13"/>
  <c r="O334" i="13" s="1"/>
  <c r="P334" i="13" s="1"/>
  <c r="L334" i="13"/>
  <c r="H334" i="13"/>
  <c r="N334" i="13" s="1"/>
  <c r="K333" i="13"/>
  <c r="I333" i="13"/>
  <c r="G333" i="13"/>
  <c r="G332" i="13" s="1"/>
  <c r="G331" i="13" s="1"/>
  <c r="F333" i="13"/>
  <c r="K332" i="13"/>
  <c r="K331" i="13" s="1"/>
  <c r="K330" i="13" s="1"/>
  <c r="J332" i="13"/>
  <c r="I332" i="13"/>
  <c r="F332" i="13"/>
  <c r="F331" i="13" s="1"/>
  <c r="J331" i="13"/>
  <c r="J330" i="13" s="1"/>
  <c r="I331" i="13"/>
  <c r="I330" i="13" s="1"/>
  <c r="N329" i="13"/>
  <c r="M329" i="13"/>
  <c r="L329" i="13"/>
  <c r="O329" i="13" s="1"/>
  <c r="P329" i="13" s="1"/>
  <c r="M328" i="13"/>
  <c r="L328" i="13"/>
  <c r="O328" i="13" s="1"/>
  <c r="P328" i="13" s="1"/>
  <c r="K328" i="13"/>
  <c r="N328" i="13" s="1"/>
  <c r="J328" i="13"/>
  <c r="I328" i="13"/>
  <c r="P327" i="13"/>
  <c r="O327" i="13"/>
  <c r="O326" i="13"/>
  <c r="P326" i="13" s="1"/>
  <c r="N326" i="13"/>
  <c r="M326" i="13"/>
  <c r="L326" i="13"/>
  <c r="H326" i="13"/>
  <c r="M325" i="13"/>
  <c r="M324" i="13" s="1"/>
  <c r="L325" i="13"/>
  <c r="K325" i="13"/>
  <c r="I325" i="13"/>
  <c r="H325" i="13"/>
  <c r="G325" i="13"/>
  <c r="G324" i="13" s="1"/>
  <c r="G323" i="13" s="1"/>
  <c r="F325" i="13"/>
  <c r="K324" i="13"/>
  <c r="I324" i="13"/>
  <c r="F324" i="13"/>
  <c r="F323" i="13" s="1"/>
  <c r="M323" i="13"/>
  <c r="K323" i="13"/>
  <c r="J323" i="13"/>
  <c r="I323" i="13"/>
  <c r="O322" i="13"/>
  <c r="P322" i="13" s="1"/>
  <c r="O321" i="13"/>
  <c r="P321" i="13" s="1"/>
  <c r="N320" i="13"/>
  <c r="M320" i="13"/>
  <c r="L320" i="13"/>
  <c r="L319" i="13" s="1"/>
  <c r="K320" i="13"/>
  <c r="K319" i="13" s="1"/>
  <c r="I320" i="13"/>
  <c r="H320" i="13"/>
  <c r="G320" i="13"/>
  <c r="G319" i="13" s="1"/>
  <c r="F320" i="13"/>
  <c r="F319" i="13" s="1"/>
  <c r="F318" i="13" s="1"/>
  <c r="N319" i="13"/>
  <c r="N318" i="13" s="1"/>
  <c r="M319" i="13"/>
  <c r="M318" i="13" s="1"/>
  <c r="I319" i="13"/>
  <c r="I318" i="13" s="1"/>
  <c r="H319" i="13"/>
  <c r="O318" i="13"/>
  <c r="P318" i="13" s="1"/>
  <c r="L318" i="13"/>
  <c r="K318" i="13"/>
  <c r="J318" i="13"/>
  <c r="H318" i="13"/>
  <c r="G318" i="13"/>
  <c r="O317" i="13"/>
  <c r="N317" i="13"/>
  <c r="M317" i="13"/>
  <c r="L317" i="13"/>
  <c r="K317" i="13"/>
  <c r="K316" i="13" s="1"/>
  <c r="N316" i="13" s="1"/>
  <c r="M316" i="13"/>
  <c r="L316" i="13"/>
  <c r="J316" i="13"/>
  <c r="O315" i="13"/>
  <c r="P315" i="13" s="1"/>
  <c r="O314" i="13"/>
  <c r="P314" i="13" s="1"/>
  <c r="O313" i="13"/>
  <c r="P313" i="13" s="1"/>
  <c r="N313" i="13"/>
  <c r="M313" i="13"/>
  <c r="L313" i="13"/>
  <c r="K313" i="13"/>
  <c r="I313" i="13"/>
  <c r="H313" i="13"/>
  <c r="G313" i="13"/>
  <c r="F313" i="13"/>
  <c r="F309" i="13" s="1"/>
  <c r="F308" i="13" s="1"/>
  <c r="F307" i="13" s="1"/>
  <c r="M312" i="13"/>
  <c r="N312" i="13" s="1"/>
  <c r="L312" i="13"/>
  <c r="H312" i="13"/>
  <c r="O311" i="13"/>
  <c r="L311" i="13"/>
  <c r="N311" i="13"/>
  <c r="L310" i="13"/>
  <c r="K310" i="13"/>
  <c r="I310" i="13"/>
  <c r="G309" i="13"/>
  <c r="G308" i="13" s="1"/>
  <c r="F310" i="13"/>
  <c r="K309" i="13"/>
  <c r="K308" i="13" s="1"/>
  <c r="K307" i="13" s="1"/>
  <c r="J309" i="13"/>
  <c r="J308" i="13" s="1"/>
  <c r="J307" i="13" s="1"/>
  <c r="I309" i="13"/>
  <c r="I308" i="13"/>
  <c r="I307" i="13"/>
  <c r="O306" i="13"/>
  <c r="M306" i="13"/>
  <c r="H306" i="13"/>
  <c r="M305" i="13"/>
  <c r="O305" i="13" s="1"/>
  <c r="H305" i="13"/>
  <c r="M304" i="13"/>
  <c r="O304" i="13" s="1"/>
  <c r="P304" i="13" s="1"/>
  <c r="H304" i="13"/>
  <c r="N303" i="13"/>
  <c r="M303" i="13"/>
  <c r="O303" i="13" s="1"/>
  <c r="P303" i="13" s="1"/>
  <c r="H303" i="13"/>
  <c r="O302" i="13"/>
  <c r="P302" i="13" s="1"/>
  <c r="N301" i="13"/>
  <c r="M301" i="13"/>
  <c r="M300" i="13" s="1"/>
  <c r="L301" i="13"/>
  <c r="K301" i="13"/>
  <c r="I301" i="13"/>
  <c r="H301" i="13"/>
  <c r="H300" i="13" s="1"/>
  <c r="G301" i="13"/>
  <c r="G300" i="13" s="1"/>
  <c r="F301" i="13"/>
  <c r="N300" i="13"/>
  <c r="K300" i="13"/>
  <c r="I300" i="13"/>
  <c r="F300" i="13"/>
  <c r="N299" i="13"/>
  <c r="M299" i="13"/>
  <c r="L299" i="13"/>
  <c r="N298" i="13"/>
  <c r="N297" i="13" s="1"/>
  <c r="N296" i="13" s="1"/>
  <c r="M298" i="13"/>
  <c r="M297" i="13" s="1"/>
  <c r="M296" i="13" s="1"/>
  <c r="K298" i="13"/>
  <c r="I298" i="13"/>
  <c r="I297" i="13" s="1"/>
  <c r="H298" i="13"/>
  <c r="H297" i="13" s="1"/>
  <c r="G298" i="13"/>
  <c r="F298" i="13"/>
  <c r="K297" i="13"/>
  <c r="G297" i="13"/>
  <c r="G296" i="13" s="1"/>
  <c r="F297" i="13"/>
  <c r="F296" i="13" s="1"/>
  <c r="J296" i="13"/>
  <c r="I296" i="13"/>
  <c r="P295" i="13"/>
  <c r="O295" i="13"/>
  <c r="O294" i="13"/>
  <c r="P294" i="13" s="1"/>
  <c r="N294" i="13"/>
  <c r="N293" i="13" s="1"/>
  <c r="M294" i="13"/>
  <c r="L294" i="13"/>
  <c r="K294" i="13"/>
  <c r="K293" i="13" s="1"/>
  <c r="I294" i="13"/>
  <c r="I293" i="13" s="1"/>
  <c r="I292" i="13" s="1"/>
  <c r="H294" i="13"/>
  <c r="G294" i="13"/>
  <c r="F294" i="13"/>
  <c r="F293" i="13" s="1"/>
  <c r="F292" i="13" s="1"/>
  <c r="M293" i="13"/>
  <c r="M292" i="13" s="1"/>
  <c r="L293" i="13"/>
  <c r="H293" i="13"/>
  <c r="H292" i="13" s="1"/>
  <c r="G293" i="13"/>
  <c r="G292" i="13" s="1"/>
  <c r="N292" i="13"/>
  <c r="K292" i="13"/>
  <c r="J292" i="13"/>
  <c r="N291" i="13"/>
  <c r="M291" i="13"/>
  <c r="M290" i="13" s="1"/>
  <c r="L291" i="13"/>
  <c r="O290" i="13"/>
  <c r="N290" i="13"/>
  <c r="L290" i="13"/>
  <c r="K290" i="13"/>
  <c r="I290" i="13"/>
  <c r="H290" i="13"/>
  <c r="G290" i="13"/>
  <c r="F290" i="13"/>
  <c r="M289" i="13"/>
  <c r="M288" i="13" s="1"/>
  <c r="M287" i="13" s="1"/>
  <c r="M286" i="13" s="1"/>
  <c r="L289" i="13"/>
  <c r="H289" i="13"/>
  <c r="N289" i="13" s="1"/>
  <c r="N288" i="13"/>
  <c r="N287" i="13" s="1"/>
  <c r="N286" i="13" s="1"/>
  <c r="K288" i="13"/>
  <c r="K287" i="13" s="1"/>
  <c r="I288" i="13"/>
  <c r="H288" i="13"/>
  <c r="G288" i="13"/>
  <c r="F288" i="13"/>
  <c r="F287" i="13" s="1"/>
  <c r="H287" i="13"/>
  <c r="H286" i="13" s="1"/>
  <c r="G287" i="13"/>
  <c r="G286" i="13" s="1"/>
  <c r="K286" i="13"/>
  <c r="F286" i="13"/>
  <c r="M285" i="13"/>
  <c r="M284" i="13" s="1"/>
  <c r="L285" i="13"/>
  <c r="H285" i="13"/>
  <c r="N285" i="13" s="1"/>
  <c r="N284" i="13" s="1"/>
  <c r="N283" i="13" s="1"/>
  <c r="N282" i="13" s="1"/>
  <c r="K284" i="13"/>
  <c r="K283" i="13" s="1"/>
  <c r="I284" i="13"/>
  <c r="I283" i="13" s="1"/>
  <c r="H284" i="13"/>
  <c r="G284" i="13"/>
  <c r="F284" i="13"/>
  <c r="F283" i="13" s="1"/>
  <c r="M283" i="13"/>
  <c r="M282" i="13" s="1"/>
  <c r="H283" i="13"/>
  <c r="H282" i="13" s="1"/>
  <c r="G283" i="13"/>
  <c r="G282" i="13" s="1"/>
  <c r="K282" i="13"/>
  <c r="I282" i="13"/>
  <c r="F282" i="13"/>
  <c r="M281" i="13"/>
  <c r="O281" i="13" s="1"/>
  <c r="H281" i="13"/>
  <c r="N281" i="13" s="1"/>
  <c r="P281" i="13" s="1"/>
  <c r="N280" i="13"/>
  <c r="M280" i="13"/>
  <c r="O280" i="13" s="1"/>
  <c r="H280" i="13"/>
  <c r="O279" i="13"/>
  <c r="N279" i="13"/>
  <c r="M279" i="13"/>
  <c r="H279" i="13"/>
  <c r="O278" i="13"/>
  <c r="P278" i="13" s="1"/>
  <c r="M278" i="13"/>
  <c r="H278" i="13"/>
  <c r="N278" i="13" s="1"/>
  <c r="N277" i="13"/>
  <c r="M277" i="13"/>
  <c r="L277" i="13"/>
  <c r="N276" i="13"/>
  <c r="N275" i="13" s="1"/>
  <c r="M276" i="13"/>
  <c r="M275" i="13" s="1"/>
  <c r="K276" i="13"/>
  <c r="I276" i="13"/>
  <c r="I275" i="13" s="1"/>
  <c r="H276" i="13"/>
  <c r="H275" i="13" s="1"/>
  <c r="G276" i="13"/>
  <c r="F276" i="13"/>
  <c r="K275" i="13"/>
  <c r="G275" i="13"/>
  <c r="F275" i="13"/>
  <c r="N274" i="13"/>
  <c r="N273" i="13" s="1"/>
  <c r="N272" i="13" s="1"/>
  <c r="M274" i="13"/>
  <c r="M273" i="13" s="1"/>
  <c r="L274" i="13"/>
  <c r="K273" i="13"/>
  <c r="K272" i="13" s="1"/>
  <c r="I273" i="13"/>
  <c r="I272" i="13" s="1"/>
  <c r="H273" i="13"/>
  <c r="G273" i="13"/>
  <c r="F273" i="13"/>
  <c r="F272" i="13" s="1"/>
  <c r="M272" i="13"/>
  <c r="H272" i="13"/>
  <c r="G272" i="13"/>
  <c r="O271" i="13"/>
  <c r="P271" i="13" s="1"/>
  <c r="P270" i="13"/>
  <c r="N270" i="13"/>
  <c r="M270" i="13"/>
  <c r="L270" i="13"/>
  <c r="O270" i="13" s="1"/>
  <c r="K270" i="13"/>
  <c r="I270" i="13"/>
  <c r="H270" i="13"/>
  <c r="G270" i="13"/>
  <c r="F270" i="13"/>
  <c r="O269" i="13"/>
  <c r="M269" i="13"/>
  <c r="L269" i="13"/>
  <c r="H269" i="13"/>
  <c r="N269" i="13" s="1"/>
  <c r="M268" i="13"/>
  <c r="L268" i="13"/>
  <c r="O268" i="13" s="1"/>
  <c r="P268" i="13" s="1"/>
  <c r="G268" i="13"/>
  <c r="H268" i="13" s="1"/>
  <c r="N268" i="13" s="1"/>
  <c r="O267" i="13"/>
  <c r="P267" i="13" s="1"/>
  <c r="M267" i="13"/>
  <c r="L267" i="13"/>
  <c r="L266" i="13" s="1"/>
  <c r="H267" i="13"/>
  <c r="N267" i="13" s="1"/>
  <c r="N266" i="13"/>
  <c r="M266" i="13"/>
  <c r="K266" i="13"/>
  <c r="I266" i="13"/>
  <c r="H266" i="13"/>
  <c r="G266" i="13"/>
  <c r="F266" i="13"/>
  <c r="O265" i="13"/>
  <c r="P265" i="13" s="1"/>
  <c r="N264" i="13"/>
  <c r="M264" i="13"/>
  <c r="L264" i="13"/>
  <c r="O263" i="13"/>
  <c r="N263" i="13"/>
  <c r="N262" i="13" s="1"/>
  <c r="N261" i="13" s="1"/>
  <c r="M263" i="13"/>
  <c r="L263" i="13"/>
  <c r="H263" i="13"/>
  <c r="H262" i="13" s="1"/>
  <c r="H261" i="13" s="1"/>
  <c r="H260" i="13" s="1"/>
  <c r="M262" i="13"/>
  <c r="L262" i="13"/>
  <c r="K262" i="13"/>
  <c r="I262" i="13"/>
  <c r="G262" i="13"/>
  <c r="F262" i="13"/>
  <c r="K261" i="13"/>
  <c r="K260" i="13" s="1"/>
  <c r="I261" i="13"/>
  <c r="I260" i="13" s="1"/>
  <c r="F261" i="13"/>
  <c r="F260" i="13" s="1"/>
  <c r="J260" i="13"/>
  <c r="M258" i="13"/>
  <c r="L258" i="13"/>
  <c r="H258" i="13"/>
  <c r="N258" i="13" s="1"/>
  <c r="N257" i="13" s="1"/>
  <c r="N256" i="13" s="1"/>
  <c r="N255" i="13" s="1"/>
  <c r="M257" i="13"/>
  <c r="M256" i="13" s="1"/>
  <c r="K257" i="13"/>
  <c r="I257" i="13"/>
  <c r="I256" i="13" s="1"/>
  <c r="I255" i="13" s="1"/>
  <c r="G257" i="13"/>
  <c r="F257" i="13"/>
  <c r="K256" i="13"/>
  <c r="K255" i="13" s="1"/>
  <c r="G256" i="13"/>
  <c r="G255" i="13" s="1"/>
  <c r="F256" i="13"/>
  <c r="M255" i="13"/>
  <c r="J255" i="13"/>
  <c r="F255" i="13"/>
  <c r="P254" i="13"/>
  <c r="O254" i="13"/>
  <c r="O253" i="13"/>
  <c r="N253" i="13"/>
  <c r="N252" i="13" s="1"/>
  <c r="N251" i="13" s="1"/>
  <c r="N250" i="13" s="1"/>
  <c r="M253" i="13"/>
  <c r="L253" i="13"/>
  <c r="K253" i="13"/>
  <c r="K252" i="13" s="1"/>
  <c r="I253" i="13"/>
  <c r="I252" i="13" s="1"/>
  <c r="I251" i="13" s="1"/>
  <c r="I250" i="13" s="1"/>
  <c r="H253" i="13"/>
  <c r="G253" i="13"/>
  <c r="F253" i="13"/>
  <c r="F252" i="13" s="1"/>
  <c r="M252" i="13"/>
  <c r="M251" i="13" s="1"/>
  <c r="M250" i="13" s="1"/>
  <c r="L252" i="13"/>
  <c r="H252" i="13"/>
  <c r="H251" i="13" s="1"/>
  <c r="G252" i="13"/>
  <c r="K251" i="13"/>
  <c r="J251" i="13"/>
  <c r="G251" i="13"/>
  <c r="G250" i="13" s="1"/>
  <c r="F251" i="13"/>
  <c r="F250" i="13" s="1"/>
  <c r="J250" i="13"/>
  <c r="M249" i="13"/>
  <c r="M248" i="13" s="1"/>
  <c r="L249" i="13"/>
  <c r="H249" i="13"/>
  <c r="H248" i="13"/>
  <c r="G248" i="13"/>
  <c r="M247" i="13"/>
  <c r="M246" i="13" s="1"/>
  <c r="M245" i="13" s="1"/>
  <c r="M244" i="13" s="1"/>
  <c r="L247" i="13"/>
  <c r="K247" i="13"/>
  <c r="H247" i="13"/>
  <c r="N247" i="13" s="1"/>
  <c r="N246" i="13" s="1"/>
  <c r="L246" i="13"/>
  <c r="K246" i="13"/>
  <c r="I246" i="13"/>
  <c r="G246" i="13"/>
  <c r="G245" i="13" s="1"/>
  <c r="G244" i="13" s="1"/>
  <c r="F246" i="13"/>
  <c r="K245" i="13"/>
  <c r="K244" i="13" s="1"/>
  <c r="I245" i="13"/>
  <c r="I244" i="13" s="1"/>
  <c r="F245" i="13"/>
  <c r="F244" i="13" s="1"/>
  <c r="J244" i="13"/>
  <c r="O243" i="13"/>
  <c r="P243" i="13" s="1"/>
  <c r="M243" i="13"/>
  <c r="L243" i="13"/>
  <c r="L242" i="13" s="1"/>
  <c r="O242" i="13" s="1"/>
  <c r="H243" i="13"/>
  <c r="N243" i="13" s="1"/>
  <c r="N242" i="13"/>
  <c r="N241" i="13" s="1"/>
  <c r="N240" i="13" s="1"/>
  <c r="M242" i="13"/>
  <c r="M241" i="13" s="1"/>
  <c r="K242" i="13"/>
  <c r="I242" i="13"/>
  <c r="I241" i="13" s="1"/>
  <c r="H242" i="13"/>
  <c r="H241" i="13" s="1"/>
  <c r="H240" i="13" s="1"/>
  <c r="G242" i="13"/>
  <c r="F242" i="13"/>
  <c r="O241" i="13"/>
  <c r="L241" i="13"/>
  <c r="L240" i="13" s="1"/>
  <c r="K241" i="13"/>
  <c r="K240" i="13" s="1"/>
  <c r="G241" i="13"/>
  <c r="G240" i="13" s="1"/>
  <c r="F241" i="13"/>
  <c r="F240" i="13" s="1"/>
  <c r="M240" i="13"/>
  <c r="J240" i="13"/>
  <c r="I240" i="13"/>
  <c r="M239" i="13"/>
  <c r="O239" i="13" s="1"/>
  <c r="H239" i="13"/>
  <c r="N239" i="13" s="1"/>
  <c r="N238" i="13"/>
  <c r="M238" i="13"/>
  <c r="O238" i="13" s="1"/>
  <c r="P238" i="13" s="1"/>
  <c r="G238" i="13"/>
  <c r="O237" i="13"/>
  <c r="P237" i="13" s="1"/>
  <c r="P236" i="13"/>
  <c r="O236" i="13"/>
  <c r="O235" i="13"/>
  <c r="P235" i="13" s="1"/>
  <c r="M234" i="13"/>
  <c r="M233" i="13" s="1"/>
  <c r="L234" i="13"/>
  <c r="H234" i="13"/>
  <c r="N234" i="13" s="1"/>
  <c r="N233" i="13" s="1"/>
  <c r="N232" i="13" s="1"/>
  <c r="N231" i="13" s="1"/>
  <c r="K233" i="13"/>
  <c r="I233" i="13"/>
  <c r="I232" i="13" s="1"/>
  <c r="I231" i="13" s="1"/>
  <c r="H233" i="13"/>
  <c r="H232" i="13" s="1"/>
  <c r="H231" i="13" s="1"/>
  <c r="G233" i="13"/>
  <c r="F233" i="13"/>
  <c r="K232" i="13"/>
  <c r="K231" i="13" s="1"/>
  <c r="G232" i="13"/>
  <c r="M232" i="13" s="1"/>
  <c r="F232" i="13"/>
  <c r="F231" i="13" s="1"/>
  <c r="M231" i="13"/>
  <c r="J231" i="13"/>
  <c r="P230" i="13"/>
  <c r="O230" i="13"/>
  <c r="O229" i="13"/>
  <c r="P229" i="13" s="1"/>
  <c r="N228" i="13"/>
  <c r="M228" i="13"/>
  <c r="M227" i="13" s="1"/>
  <c r="M226" i="13" s="1"/>
  <c r="L228" i="13"/>
  <c r="K228" i="13"/>
  <c r="I228" i="13"/>
  <c r="H228" i="13"/>
  <c r="H227" i="13" s="1"/>
  <c r="H226" i="13" s="1"/>
  <c r="G228" i="13"/>
  <c r="G227" i="13" s="1"/>
  <c r="F228" i="13"/>
  <c r="N227" i="13"/>
  <c r="N226" i="13" s="1"/>
  <c r="K227" i="13"/>
  <c r="K226" i="13" s="1"/>
  <c r="K215" i="13" s="1"/>
  <c r="I227" i="13"/>
  <c r="I226" i="13" s="1"/>
  <c r="F227" i="13"/>
  <c r="F226" i="13" s="1"/>
  <c r="G226" i="13"/>
  <c r="O225" i="13"/>
  <c r="M225" i="13"/>
  <c r="L225" i="13"/>
  <c r="K225" i="13"/>
  <c r="H225" i="13"/>
  <c r="N225" i="13" s="1"/>
  <c r="M224" i="13"/>
  <c r="K224" i="13"/>
  <c r="G224" i="13"/>
  <c r="H224" i="13" s="1"/>
  <c r="N224" i="13" s="1"/>
  <c r="F224" i="13"/>
  <c r="L224" i="13" s="1"/>
  <c r="O224" i="13" s="1"/>
  <c r="P224" i="13" s="1"/>
  <c r="O223" i="13"/>
  <c r="M223" i="13"/>
  <c r="L223" i="13"/>
  <c r="K223" i="13"/>
  <c r="H223" i="13"/>
  <c r="N223" i="13" s="1"/>
  <c r="M222" i="13"/>
  <c r="J222" i="13"/>
  <c r="K222" i="13" s="1"/>
  <c r="H222" i="13"/>
  <c r="G222" i="13"/>
  <c r="F222" i="13"/>
  <c r="L222" i="13" s="1"/>
  <c r="O222" i="13" s="1"/>
  <c r="K221" i="13"/>
  <c r="K220" i="13" s="1"/>
  <c r="I221" i="13"/>
  <c r="G221" i="13"/>
  <c r="F221" i="13"/>
  <c r="L221" i="13" s="1"/>
  <c r="J220" i="13"/>
  <c r="I220" i="13"/>
  <c r="F220" i="13"/>
  <c r="M219" i="13"/>
  <c r="K219" i="13"/>
  <c r="H219" i="13"/>
  <c r="J218" i="13"/>
  <c r="H218" i="13"/>
  <c r="H217" i="13"/>
  <c r="H216" i="13"/>
  <c r="N214" i="13"/>
  <c r="M214" i="13"/>
  <c r="O214" i="13" s="1"/>
  <c r="L214" i="13"/>
  <c r="H214" i="13"/>
  <c r="M213" i="13"/>
  <c r="L213" i="13"/>
  <c r="H213" i="13"/>
  <c r="N213" i="13" s="1"/>
  <c r="G213" i="13"/>
  <c r="L212" i="13"/>
  <c r="G212" i="13"/>
  <c r="M212" i="13" s="1"/>
  <c r="O212" i="13" s="1"/>
  <c r="F212" i="13"/>
  <c r="M211" i="13"/>
  <c r="M210" i="13"/>
  <c r="M209" i="13"/>
  <c r="L209" i="13"/>
  <c r="O209" i="13" s="1"/>
  <c r="P209" i="13" s="1"/>
  <c r="H209" i="13"/>
  <c r="N209" i="13" s="1"/>
  <c r="M208" i="13"/>
  <c r="G208" i="13"/>
  <c r="F208" i="13"/>
  <c r="K207" i="13"/>
  <c r="J207" i="13"/>
  <c r="J196" i="13" s="1"/>
  <c r="O206" i="13"/>
  <c r="M206" i="13"/>
  <c r="L206" i="13"/>
  <c r="H206" i="13"/>
  <c r="L205" i="13"/>
  <c r="G205" i="13"/>
  <c r="M205" i="13" s="1"/>
  <c r="M200" i="13" s="1"/>
  <c r="M204" i="13"/>
  <c r="L204" i="13"/>
  <c r="H204" i="13"/>
  <c r="O203" i="13"/>
  <c r="P203" i="13" s="1"/>
  <c r="N203" i="13"/>
  <c r="M203" i="13"/>
  <c r="L203" i="13"/>
  <c r="H203" i="13"/>
  <c r="M202" i="13"/>
  <c r="M201" i="13" s="1"/>
  <c r="H202" i="13"/>
  <c r="N202" i="13" s="1"/>
  <c r="N201" i="13" s="1"/>
  <c r="K201" i="13"/>
  <c r="K200" i="13" s="1"/>
  <c r="I201" i="13"/>
  <c r="I200" i="13" s="1"/>
  <c r="H201" i="13"/>
  <c r="G201" i="13"/>
  <c r="F201" i="13"/>
  <c r="F200" i="13" s="1"/>
  <c r="G200" i="13"/>
  <c r="O199" i="13"/>
  <c r="P199" i="13" s="1"/>
  <c r="N199" i="13"/>
  <c r="N198" i="13" s="1"/>
  <c r="M199" i="13"/>
  <c r="L199" i="13"/>
  <c r="H199" i="13"/>
  <c r="M198" i="13"/>
  <c r="M197" i="13" s="1"/>
  <c r="L198" i="13"/>
  <c r="K198" i="13"/>
  <c r="I198" i="13"/>
  <c r="H198" i="13"/>
  <c r="H197" i="13" s="1"/>
  <c r="G198" i="13"/>
  <c r="G197" i="13" s="1"/>
  <c r="F198" i="13"/>
  <c r="N197" i="13"/>
  <c r="K197" i="13"/>
  <c r="I197" i="13"/>
  <c r="F197" i="13"/>
  <c r="M195" i="13"/>
  <c r="M194" i="13" s="1"/>
  <c r="L195" i="13"/>
  <c r="L194" i="13" s="1"/>
  <c r="H195" i="13"/>
  <c r="N195" i="13" s="1"/>
  <c r="N194" i="13" s="1"/>
  <c r="K194" i="13"/>
  <c r="I194" i="13"/>
  <c r="G194" i="13"/>
  <c r="G191" i="13" s="1"/>
  <c r="G190" i="13" s="1"/>
  <c r="F194" i="13"/>
  <c r="F191" i="13" s="1"/>
  <c r="F190" i="13" s="1"/>
  <c r="M193" i="13"/>
  <c r="L193" i="13"/>
  <c r="L192" i="13" s="1"/>
  <c r="O192" i="13" s="1"/>
  <c r="H193" i="13"/>
  <c r="N193" i="13" s="1"/>
  <c r="N192" i="13" s="1"/>
  <c r="N191" i="13" s="1"/>
  <c r="N190" i="13" s="1"/>
  <c r="M192" i="13"/>
  <c r="K192" i="13"/>
  <c r="I192" i="13"/>
  <c r="I191" i="13" s="1"/>
  <c r="I190" i="13" s="1"/>
  <c r="G192" i="13"/>
  <c r="F192" i="13"/>
  <c r="K191" i="13"/>
  <c r="K190" i="13" s="1"/>
  <c r="J190" i="13"/>
  <c r="P189" i="13"/>
  <c r="O189" i="13"/>
  <c r="O188" i="13"/>
  <c r="P188" i="13" s="1"/>
  <c r="P187" i="13"/>
  <c r="O187" i="13"/>
  <c r="O186" i="13"/>
  <c r="P186" i="13" s="1"/>
  <c r="M185" i="13"/>
  <c r="L185" i="13"/>
  <c r="O185" i="13" s="1"/>
  <c r="P185" i="13" s="1"/>
  <c r="K185" i="13"/>
  <c r="H185" i="13"/>
  <c r="N185" i="13" s="1"/>
  <c r="L184" i="13"/>
  <c r="O184" i="13" s="1"/>
  <c r="P184" i="13" s="1"/>
  <c r="K184" i="13"/>
  <c r="J184" i="13"/>
  <c r="I184" i="13"/>
  <c r="H184" i="13"/>
  <c r="N184" i="13" s="1"/>
  <c r="G184" i="13"/>
  <c r="M184" i="13" s="1"/>
  <c r="F184" i="13"/>
  <c r="O183" i="13"/>
  <c r="N183" i="13"/>
  <c r="L183" i="13"/>
  <c r="H183" i="13"/>
  <c r="M183" i="13" s="1"/>
  <c r="N182" i="13"/>
  <c r="M182" i="13"/>
  <c r="L182" i="13"/>
  <c r="H182" i="13"/>
  <c r="O181" i="13"/>
  <c r="M181" i="13"/>
  <c r="L181" i="13"/>
  <c r="K181" i="13"/>
  <c r="K180" i="13" s="1"/>
  <c r="H181" i="13"/>
  <c r="N181" i="13" s="1"/>
  <c r="J180" i="13"/>
  <c r="J159" i="13" s="1"/>
  <c r="J158" i="13" s="1"/>
  <c r="I180" i="13"/>
  <c r="L180" i="13" s="1"/>
  <c r="H180" i="13"/>
  <c r="O179" i="13"/>
  <c r="N179" i="13"/>
  <c r="M179" i="13"/>
  <c r="O178" i="13"/>
  <c r="N178" i="13"/>
  <c r="M178" i="13"/>
  <c r="O177" i="13"/>
  <c r="P177" i="13" s="1"/>
  <c r="N177" i="13"/>
  <c r="M177" i="13"/>
  <c r="K177" i="13"/>
  <c r="P176" i="13"/>
  <c r="O176" i="13"/>
  <c r="N176" i="13"/>
  <c r="M176" i="13"/>
  <c r="L175" i="13"/>
  <c r="L174" i="13" s="1"/>
  <c r="H175" i="13"/>
  <c r="M175" i="13"/>
  <c r="M174" i="13" s="1"/>
  <c r="K174" i="13"/>
  <c r="I174" i="13"/>
  <c r="G174" i="13"/>
  <c r="F174" i="13"/>
  <c r="M173" i="13"/>
  <c r="M172" i="13" s="1"/>
  <c r="L173" i="13"/>
  <c r="H173" i="13"/>
  <c r="N173" i="13" s="1"/>
  <c r="N172" i="13" s="1"/>
  <c r="K172" i="13"/>
  <c r="I172" i="13"/>
  <c r="G172" i="13"/>
  <c r="F172" i="13"/>
  <c r="M171" i="13"/>
  <c r="M170" i="13" s="1"/>
  <c r="L171" i="13"/>
  <c r="L170" i="13" s="1"/>
  <c r="O170" i="13" s="1"/>
  <c r="P170" i="13" s="1"/>
  <c r="K171" i="13"/>
  <c r="H171" i="13"/>
  <c r="N171" i="13" s="1"/>
  <c r="N170" i="13" s="1"/>
  <c r="K170" i="13"/>
  <c r="K159" i="13" s="1"/>
  <c r="J170" i="13"/>
  <c r="I170" i="13"/>
  <c r="O169" i="13"/>
  <c r="P169" i="13" s="1"/>
  <c r="M169" i="13"/>
  <c r="L169" i="13"/>
  <c r="H169" i="13"/>
  <c r="N169" i="13" s="1"/>
  <c r="N168" i="13"/>
  <c r="M168" i="13"/>
  <c r="L168" i="13"/>
  <c r="G168" i="13"/>
  <c r="H168" i="13" s="1"/>
  <c r="M167" i="13"/>
  <c r="M166" i="13" s="1"/>
  <c r="L167" i="13"/>
  <c r="H167" i="13"/>
  <c r="L166" i="13"/>
  <c r="O166" i="13" s="1"/>
  <c r="K166" i="13"/>
  <c r="I166" i="13"/>
  <c r="G166" i="13"/>
  <c r="F166" i="13"/>
  <c r="M165" i="13"/>
  <c r="M164" i="13" s="1"/>
  <c r="L165" i="13"/>
  <c r="O165" i="13" s="1"/>
  <c r="H165" i="13"/>
  <c r="L164" i="13"/>
  <c r="O164" i="13" s="1"/>
  <c r="K164" i="13"/>
  <c r="I164" i="13"/>
  <c r="H164" i="13"/>
  <c r="G164" i="13"/>
  <c r="F164" i="13"/>
  <c r="M163" i="13"/>
  <c r="L163" i="13"/>
  <c r="K163" i="13"/>
  <c r="H163" i="13"/>
  <c r="N163" i="13" s="1"/>
  <c r="N162" i="13" s="1"/>
  <c r="M162" i="13"/>
  <c r="L162" i="13"/>
  <c r="K162" i="13"/>
  <c r="J162" i="13"/>
  <c r="I162" i="13"/>
  <c r="I159" i="13" s="1"/>
  <c r="I158" i="13" s="1"/>
  <c r="H162" i="13"/>
  <c r="G162" i="13"/>
  <c r="F162" i="13"/>
  <c r="L161" i="13"/>
  <c r="L160" i="13" s="1"/>
  <c r="H161" i="13"/>
  <c r="M161" i="13"/>
  <c r="M160" i="13" s="1"/>
  <c r="K160" i="13"/>
  <c r="I160" i="13"/>
  <c r="G160" i="13"/>
  <c r="F160" i="13"/>
  <c r="K158" i="13"/>
  <c r="O157" i="13"/>
  <c r="M157" i="13"/>
  <c r="L157" i="13"/>
  <c r="K157" i="13"/>
  <c r="K156" i="13" s="1"/>
  <c r="H157" i="13"/>
  <c r="N157" i="13" s="1"/>
  <c r="N156" i="13" s="1"/>
  <c r="M156" i="13"/>
  <c r="L156" i="13"/>
  <c r="O156" i="13" s="1"/>
  <c r="I156" i="13"/>
  <c r="H156" i="13"/>
  <c r="H148" i="13" s="1"/>
  <c r="H147" i="13" s="1"/>
  <c r="G156" i="13"/>
  <c r="F156" i="13"/>
  <c r="O155" i="13"/>
  <c r="M155" i="13"/>
  <c r="L155" i="13"/>
  <c r="L154" i="13" s="1"/>
  <c r="O154" i="13" s="1"/>
  <c r="K155" i="13"/>
  <c r="K154" i="13" s="1"/>
  <c r="I155" i="13"/>
  <c r="H155" i="13"/>
  <c r="M154" i="13"/>
  <c r="I154" i="13"/>
  <c r="H154" i="13"/>
  <c r="G154" i="13"/>
  <c r="F154" i="13"/>
  <c r="N153" i="13"/>
  <c r="M153" i="13"/>
  <c r="M152" i="13" s="1"/>
  <c r="L153" i="13"/>
  <c r="N152" i="13"/>
  <c r="K152" i="13"/>
  <c r="J152" i="13"/>
  <c r="I152" i="13"/>
  <c r="H152" i="13"/>
  <c r="G152" i="13"/>
  <c r="F152" i="13"/>
  <c r="N151" i="13"/>
  <c r="M151" i="13"/>
  <c r="M149" i="13" s="1"/>
  <c r="L151" i="13"/>
  <c r="O151" i="13" s="1"/>
  <c r="P151" i="13" s="1"/>
  <c r="H151" i="13"/>
  <c r="O150" i="13"/>
  <c r="P150" i="13" s="1"/>
  <c r="M150" i="13"/>
  <c r="L150" i="13"/>
  <c r="L149" i="13" s="1"/>
  <c r="K150" i="13"/>
  <c r="H150" i="13"/>
  <c r="N150" i="13" s="1"/>
  <c r="N149" i="13" s="1"/>
  <c r="O149" i="13"/>
  <c r="K149" i="13"/>
  <c r="J149" i="13"/>
  <c r="I149" i="13"/>
  <c r="H149" i="13"/>
  <c r="G149" i="13"/>
  <c r="F149" i="13"/>
  <c r="J148" i="13"/>
  <c r="J147" i="13" s="1"/>
  <c r="I148" i="13"/>
  <c r="F148" i="13"/>
  <c r="F147" i="13" s="1"/>
  <c r="I147" i="13"/>
  <c r="O146" i="13"/>
  <c r="M146" i="13"/>
  <c r="H146" i="13"/>
  <c r="M145" i="13"/>
  <c r="O145" i="13" s="1"/>
  <c r="P145" i="13" s="1"/>
  <c r="H145" i="13"/>
  <c r="N145" i="13" s="1"/>
  <c r="G145" i="13"/>
  <c r="G144" i="13"/>
  <c r="M144" i="13" s="1"/>
  <c r="O144" i="13" s="1"/>
  <c r="M143" i="13"/>
  <c r="M142" i="13" s="1"/>
  <c r="M141" i="13" s="1"/>
  <c r="L143" i="13"/>
  <c r="O143" i="13" s="1"/>
  <c r="P143" i="13" s="1"/>
  <c r="K143" i="13"/>
  <c r="H143" i="13"/>
  <c r="N143" i="13" s="1"/>
  <c r="N142" i="13" s="1"/>
  <c r="L142" i="13"/>
  <c r="L141" i="13" s="1"/>
  <c r="O141" i="13" s="1"/>
  <c r="P141" i="13" s="1"/>
  <c r="K142" i="13"/>
  <c r="J142" i="13"/>
  <c r="I142" i="13"/>
  <c r="H142" i="13"/>
  <c r="H141" i="13" s="1"/>
  <c r="G142" i="13"/>
  <c r="F142" i="13"/>
  <c r="N141" i="13"/>
  <c r="K141" i="13"/>
  <c r="J141" i="13"/>
  <c r="I141" i="13"/>
  <c r="G141" i="13"/>
  <c r="G140" i="13" s="1"/>
  <c r="F141" i="13"/>
  <c r="M140" i="13"/>
  <c r="K140" i="13"/>
  <c r="J140" i="13"/>
  <c r="I140" i="13"/>
  <c r="F140" i="13"/>
  <c r="O138" i="13"/>
  <c r="M138" i="13"/>
  <c r="H138" i="13"/>
  <c r="N138" i="13" s="1"/>
  <c r="N137" i="13"/>
  <c r="M137" i="13"/>
  <c r="O137" i="13" s="1"/>
  <c r="P137" i="13" s="1"/>
  <c r="N136" i="13"/>
  <c r="M136" i="13"/>
  <c r="O136" i="13" s="1"/>
  <c r="P136" i="13" s="1"/>
  <c r="N135" i="13"/>
  <c r="M135" i="13"/>
  <c r="O135" i="13" s="1"/>
  <c r="P135" i="13" s="1"/>
  <c r="M134" i="13"/>
  <c r="L134" i="13"/>
  <c r="O134" i="13" s="1"/>
  <c r="H134" i="13"/>
  <c r="N134" i="13" s="1"/>
  <c r="O133" i="13"/>
  <c r="M133" i="13"/>
  <c r="L133" i="13"/>
  <c r="H133" i="13"/>
  <c r="N133" i="13" s="1"/>
  <c r="M132" i="13"/>
  <c r="L132" i="13"/>
  <c r="G132" i="13"/>
  <c r="H132" i="13" s="1"/>
  <c r="N132" i="13" s="1"/>
  <c r="L131" i="13"/>
  <c r="H131" i="13"/>
  <c r="N131" i="13" s="1"/>
  <c r="G131" i="13"/>
  <c r="M131" i="13" s="1"/>
  <c r="O130" i="13"/>
  <c r="P130" i="13" s="1"/>
  <c r="N130" i="13"/>
  <c r="N129" i="13" s="1"/>
  <c r="N128" i="13" s="1"/>
  <c r="M130" i="13"/>
  <c r="L130" i="13"/>
  <c r="H130" i="13"/>
  <c r="M129" i="13"/>
  <c r="M128" i="13" s="1"/>
  <c r="L129" i="13"/>
  <c r="O129" i="13" s="1"/>
  <c r="P129" i="13" s="1"/>
  <c r="K129" i="13"/>
  <c r="I129" i="13"/>
  <c r="H129" i="13"/>
  <c r="H128" i="13" s="1"/>
  <c r="G129" i="13"/>
  <c r="G128" i="13" s="1"/>
  <c r="F129" i="13"/>
  <c r="K128" i="13"/>
  <c r="I128" i="13"/>
  <c r="F128" i="13"/>
  <c r="M127" i="13"/>
  <c r="O127" i="13" s="1"/>
  <c r="N127" i="13"/>
  <c r="N126" i="13"/>
  <c r="M126" i="13"/>
  <c r="O126" i="13" s="1"/>
  <c r="P126" i="13" s="1"/>
  <c r="H126" i="13"/>
  <c r="O125" i="13"/>
  <c r="M125" i="13"/>
  <c r="L125" i="13"/>
  <c r="H125" i="13"/>
  <c r="N125" i="13" s="1"/>
  <c r="M124" i="13"/>
  <c r="H124" i="13"/>
  <c r="N124" i="13" s="1"/>
  <c r="M123" i="13"/>
  <c r="L123" i="13"/>
  <c r="N122" i="13"/>
  <c r="M122" i="13"/>
  <c r="L122" i="13"/>
  <c r="O122" i="13" s="1"/>
  <c r="P122" i="13" s="1"/>
  <c r="H122" i="13"/>
  <c r="O121" i="13"/>
  <c r="P121" i="13" s="1"/>
  <c r="M121" i="13"/>
  <c r="L121" i="13"/>
  <c r="L120" i="13" s="1"/>
  <c r="H121" i="13"/>
  <c r="N121" i="13" s="1"/>
  <c r="N120" i="13" s="1"/>
  <c r="N119" i="13" s="1"/>
  <c r="M120" i="13"/>
  <c r="M119" i="13" s="1"/>
  <c r="K120" i="13"/>
  <c r="I120" i="13"/>
  <c r="I119" i="13" s="1"/>
  <c r="I118" i="13" s="1"/>
  <c r="H120" i="13"/>
  <c r="H119" i="13" s="1"/>
  <c r="G120" i="13"/>
  <c r="F120" i="13"/>
  <c r="K119" i="13"/>
  <c r="K118" i="13" s="1"/>
  <c r="G119" i="13"/>
  <c r="G118" i="13" s="1"/>
  <c r="F119" i="13"/>
  <c r="J118" i="13"/>
  <c r="F118" i="13"/>
  <c r="M117" i="13"/>
  <c r="M116" i="13" s="1"/>
  <c r="M115" i="13" s="1"/>
  <c r="L117" i="13"/>
  <c r="O117" i="13" s="1"/>
  <c r="P117" i="13" s="1"/>
  <c r="H117" i="13"/>
  <c r="N117" i="13" s="1"/>
  <c r="N116" i="13" s="1"/>
  <c r="N115" i="13" s="1"/>
  <c r="K116" i="13"/>
  <c r="K115" i="13" s="1"/>
  <c r="I116" i="13"/>
  <c r="I115" i="13" s="1"/>
  <c r="H116" i="13"/>
  <c r="H115" i="13" s="1"/>
  <c r="G116" i="13"/>
  <c r="G115" i="13" s="1"/>
  <c r="F116" i="13"/>
  <c r="F115" i="13" s="1"/>
  <c r="O114" i="13"/>
  <c r="P114" i="13" s="1"/>
  <c r="N114" i="13"/>
  <c r="N113" i="13" s="1"/>
  <c r="M114" i="13"/>
  <c r="M113" i="13" s="1"/>
  <c r="L114" i="13"/>
  <c r="L113" i="13"/>
  <c r="K113" i="13"/>
  <c r="I113" i="13"/>
  <c r="H113" i="13"/>
  <c r="G113" i="13"/>
  <c r="F113" i="13"/>
  <c r="F107" i="13" s="1"/>
  <c r="F106" i="13" s="1"/>
  <c r="N112" i="13"/>
  <c r="N111" i="13" s="1"/>
  <c r="M112" i="13"/>
  <c r="M111" i="13" s="1"/>
  <c r="L112" i="13"/>
  <c r="O112" i="13" s="1"/>
  <c r="P112" i="13" s="1"/>
  <c r="K112" i="13"/>
  <c r="L111" i="13"/>
  <c r="K111" i="13"/>
  <c r="J111" i="13"/>
  <c r="I111" i="13"/>
  <c r="H111" i="13"/>
  <c r="G111" i="13"/>
  <c r="F111" i="13"/>
  <c r="O110" i="13"/>
  <c r="M110" i="13"/>
  <c r="L110" i="13"/>
  <c r="K110" i="13"/>
  <c r="K108" i="13" s="1"/>
  <c r="K107" i="13" s="1"/>
  <c r="H110" i="13"/>
  <c r="N110" i="13" s="1"/>
  <c r="M109" i="13"/>
  <c r="L109" i="13"/>
  <c r="K109" i="13"/>
  <c r="H109" i="13"/>
  <c r="N109" i="13" s="1"/>
  <c r="N108" i="13" s="1"/>
  <c r="N107" i="13" s="1"/>
  <c r="N106" i="13" s="1"/>
  <c r="M108" i="13"/>
  <c r="J108" i="13"/>
  <c r="I108" i="13"/>
  <c r="I107" i="13" s="1"/>
  <c r="I106" i="13" s="1"/>
  <c r="G108" i="13"/>
  <c r="G107" i="13" s="1"/>
  <c r="F108" i="13"/>
  <c r="J107" i="13"/>
  <c r="J106" i="13"/>
  <c r="N105" i="13"/>
  <c r="N104" i="13" s="1"/>
  <c r="M105" i="13"/>
  <c r="L105" i="13"/>
  <c r="O105" i="13" s="1"/>
  <c r="P105" i="13" s="1"/>
  <c r="K105" i="13"/>
  <c r="H105" i="13"/>
  <c r="M104" i="13"/>
  <c r="M97" i="13" s="1"/>
  <c r="M96" i="13" s="1"/>
  <c r="L104" i="13"/>
  <c r="O104" i="13" s="1"/>
  <c r="P104" i="13" s="1"/>
  <c r="K104" i="13"/>
  <c r="J104" i="13"/>
  <c r="I104" i="13"/>
  <c r="I97" i="13" s="1"/>
  <c r="I96" i="13" s="1"/>
  <c r="H104" i="13"/>
  <c r="H97" i="13" s="1"/>
  <c r="H96" i="13" s="1"/>
  <c r="G104" i="13"/>
  <c r="F104" i="13"/>
  <c r="N103" i="13"/>
  <c r="M103" i="13"/>
  <c r="L103" i="13"/>
  <c r="O103" i="13" s="1"/>
  <c r="P103" i="13" s="1"/>
  <c r="M102" i="13"/>
  <c r="L102" i="13"/>
  <c r="O102" i="13" s="1"/>
  <c r="H102" i="13"/>
  <c r="N102" i="13" s="1"/>
  <c r="F102" i="13"/>
  <c r="M101" i="13"/>
  <c r="L101" i="13"/>
  <c r="O101" i="13" s="1"/>
  <c r="H101" i="13"/>
  <c r="N101" i="13" s="1"/>
  <c r="M100" i="13"/>
  <c r="K100" i="13"/>
  <c r="I100" i="13"/>
  <c r="H100" i="13"/>
  <c r="N100" i="13" s="1"/>
  <c r="F100" i="13"/>
  <c r="L100" i="13" s="1"/>
  <c r="O100" i="13" s="1"/>
  <c r="O99" i="13"/>
  <c r="P99" i="13" s="1"/>
  <c r="M99" i="13"/>
  <c r="L99" i="13"/>
  <c r="H99" i="13"/>
  <c r="N99" i="13" s="1"/>
  <c r="M98" i="13"/>
  <c r="L98" i="13"/>
  <c r="O98" i="13" s="1"/>
  <c r="H98" i="13"/>
  <c r="N98" i="13" s="1"/>
  <c r="K97" i="13"/>
  <c r="K96" i="13" s="1"/>
  <c r="J97" i="13"/>
  <c r="G97" i="13"/>
  <c r="G96" i="13" s="1"/>
  <c r="F97" i="13"/>
  <c r="J96" i="13"/>
  <c r="J95" i="13" s="1"/>
  <c r="F96" i="13"/>
  <c r="O94" i="13"/>
  <c r="M94" i="13"/>
  <c r="H94" i="13"/>
  <c r="N94" i="13" s="1"/>
  <c r="N93" i="13" s="1"/>
  <c r="N92" i="13" s="1"/>
  <c r="N91" i="13" s="1"/>
  <c r="M93" i="13"/>
  <c r="M92" i="13" s="1"/>
  <c r="M91" i="13" s="1"/>
  <c r="L93" i="13"/>
  <c r="O93" i="13" s="1"/>
  <c r="K93" i="13"/>
  <c r="I93" i="13"/>
  <c r="H93" i="13"/>
  <c r="H92" i="13" s="1"/>
  <c r="H91" i="13" s="1"/>
  <c r="G93" i="13"/>
  <c r="G92" i="13" s="1"/>
  <c r="G91" i="13" s="1"/>
  <c r="F93" i="13"/>
  <c r="K92" i="13"/>
  <c r="K91" i="13" s="1"/>
  <c r="I92" i="13"/>
  <c r="F92" i="13"/>
  <c r="F91" i="13" s="1"/>
  <c r="J91" i="13"/>
  <c r="I91" i="13"/>
  <c r="M90" i="13"/>
  <c r="O90" i="13" s="1"/>
  <c r="L90" i="13"/>
  <c r="H90" i="13"/>
  <c r="H89" i="13" s="1"/>
  <c r="H88" i="13" s="1"/>
  <c r="M89" i="13"/>
  <c r="M88" i="13" s="1"/>
  <c r="K89" i="13"/>
  <c r="I89" i="13"/>
  <c r="I88" i="13" s="1"/>
  <c r="G89" i="13"/>
  <c r="G88" i="13" s="1"/>
  <c r="F89" i="13"/>
  <c r="K88" i="13"/>
  <c r="F88" i="13"/>
  <c r="L87" i="13"/>
  <c r="L86" i="13" s="1"/>
  <c r="H87" i="13"/>
  <c r="H86" i="13" s="1"/>
  <c r="H85" i="13" s="1"/>
  <c r="H84" i="13" s="1"/>
  <c r="H83" i="13" s="1"/>
  <c r="K86" i="13"/>
  <c r="I86" i="13"/>
  <c r="G86" i="13"/>
  <c r="G85" i="13" s="1"/>
  <c r="F86" i="13"/>
  <c r="K85" i="13"/>
  <c r="K84" i="13" s="1"/>
  <c r="I85" i="13"/>
  <c r="I84" i="13" s="1"/>
  <c r="I83" i="13" s="1"/>
  <c r="F85" i="13"/>
  <c r="F84" i="13" s="1"/>
  <c r="F83" i="13" s="1"/>
  <c r="J84" i="13"/>
  <c r="K83" i="13"/>
  <c r="J83" i="13"/>
  <c r="M82" i="13"/>
  <c r="N81" i="13"/>
  <c r="M81" i="13"/>
  <c r="O80" i="13"/>
  <c r="M80" i="13"/>
  <c r="L80" i="13"/>
  <c r="H80" i="13"/>
  <c r="N80" i="13" s="1"/>
  <c r="N75" i="13" s="1"/>
  <c r="N79" i="13"/>
  <c r="M79" i="13"/>
  <c r="M75" i="13" s="1"/>
  <c r="M74" i="13" s="1"/>
  <c r="M73" i="13" s="1"/>
  <c r="L79" i="13"/>
  <c r="H79" i="13"/>
  <c r="M76" i="13"/>
  <c r="L76" i="13"/>
  <c r="L75" i="13" s="1"/>
  <c r="H76" i="13"/>
  <c r="N76" i="13" s="1"/>
  <c r="K75" i="13"/>
  <c r="I75" i="13"/>
  <c r="I74" i="13" s="1"/>
  <c r="G75" i="13"/>
  <c r="F75" i="13"/>
  <c r="K74" i="13"/>
  <c r="K73" i="13" s="1"/>
  <c r="G74" i="13"/>
  <c r="G73" i="13" s="1"/>
  <c r="F73" i="13"/>
  <c r="J73" i="13"/>
  <c r="I73" i="13"/>
  <c r="P72" i="13"/>
  <c r="O72" i="13"/>
  <c r="O71" i="13"/>
  <c r="M71" i="13"/>
  <c r="L71" i="13"/>
  <c r="H71" i="13"/>
  <c r="H69" i="13" s="1"/>
  <c r="M70" i="13"/>
  <c r="M69" i="13" s="1"/>
  <c r="M68" i="13" s="1"/>
  <c r="L70" i="13"/>
  <c r="H70" i="13"/>
  <c r="N70" i="13" s="1"/>
  <c r="K69" i="13"/>
  <c r="K68" i="13" s="1"/>
  <c r="I69" i="13"/>
  <c r="I68" i="13" s="1"/>
  <c r="G69" i="13"/>
  <c r="F69" i="13"/>
  <c r="F68" i="13" s="1"/>
  <c r="H68" i="13"/>
  <c r="G68" i="13"/>
  <c r="O67" i="13"/>
  <c r="P67" i="13" s="1"/>
  <c r="N67" i="13"/>
  <c r="L67" i="13"/>
  <c r="O66" i="13"/>
  <c r="N66" i="13"/>
  <c r="L66" i="13"/>
  <c r="O65" i="13"/>
  <c r="P65" i="13" s="1"/>
  <c r="N65" i="13"/>
  <c r="L65" i="13"/>
  <c r="O64" i="13"/>
  <c r="N64" i="13"/>
  <c r="N63" i="13" s="1"/>
  <c r="M64" i="13"/>
  <c r="L64" i="13"/>
  <c r="O63" i="13"/>
  <c r="P63" i="13" s="1"/>
  <c r="M63" i="13"/>
  <c r="L63" i="13"/>
  <c r="K63" i="13"/>
  <c r="I63" i="13"/>
  <c r="H63" i="13"/>
  <c r="G63" i="13"/>
  <c r="F63" i="13"/>
  <c r="N62" i="13"/>
  <c r="N61" i="13" s="1"/>
  <c r="P61" i="13" s="1"/>
  <c r="M62" i="13"/>
  <c r="L62" i="13"/>
  <c r="O62" i="13" s="1"/>
  <c r="K62" i="13"/>
  <c r="O61" i="13"/>
  <c r="M61" i="13"/>
  <c r="L61" i="13"/>
  <c r="K61" i="13"/>
  <c r="J61" i="13"/>
  <c r="L60" i="13"/>
  <c r="L59" i="13" s="1"/>
  <c r="K60" i="13"/>
  <c r="K59" i="13" s="1"/>
  <c r="K49" i="13" s="1"/>
  <c r="K48" i="13" s="1"/>
  <c r="H60" i="13"/>
  <c r="H59" i="13" s="1"/>
  <c r="M60" i="13"/>
  <c r="M59" i="13" s="1"/>
  <c r="J59" i="13"/>
  <c r="J49" i="13" s="1"/>
  <c r="J48" i="13" s="1"/>
  <c r="I59" i="13"/>
  <c r="G59" i="13"/>
  <c r="F59" i="13"/>
  <c r="M58" i="13"/>
  <c r="L58" i="13"/>
  <c r="O58" i="13" s="1"/>
  <c r="K58" i="13"/>
  <c r="H58" i="13"/>
  <c r="N58" i="13" s="1"/>
  <c r="N57" i="13" s="1"/>
  <c r="M57" i="13"/>
  <c r="L57" i="13"/>
  <c r="K57" i="13"/>
  <c r="J57" i="13"/>
  <c r="I57" i="13"/>
  <c r="H57" i="13"/>
  <c r="G57" i="13"/>
  <c r="F57" i="13"/>
  <c r="M56" i="13"/>
  <c r="M55" i="13" s="1"/>
  <c r="L56" i="13"/>
  <c r="H56" i="13"/>
  <c r="H55" i="13" s="1"/>
  <c r="K55" i="13"/>
  <c r="J55" i="13"/>
  <c r="I55" i="13"/>
  <c r="G55" i="13"/>
  <c r="F55" i="13"/>
  <c r="N54" i="13"/>
  <c r="M54" i="13"/>
  <c r="L54" i="13"/>
  <c r="M53" i="13"/>
  <c r="N53" i="13" s="1"/>
  <c r="L53" i="13"/>
  <c r="K53" i="13"/>
  <c r="F53" i="13"/>
  <c r="F50" i="13" s="1"/>
  <c r="M52" i="13"/>
  <c r="L52" i="13"/>
  <c r="H52" i="13"/>
  <c r="N52" i="13" s="1"/>
  <c r="L51" i="13"/>
  <c r="K51" i="13"/>
  <c r="M51" i="13"/>
  <c r="K50" i="13"/>
  <c r="J50" i="13"/>
  <c r="I50" i="13"/>
  <c r="I49" i="13"/>
  <c r="I48" i="13" s="1"/>
  <c r="O47" i="13"/>
  <c r="P47" i="13" s="1"/>
  <c r="N46" i="13"/>
  <c r="M46" i="13"/>
  <c r="L46" i="13"/>
  <c r="O46" i="13" s="1"/>
  <c r="P46" i="13" s="1"/>
  <c r="K46" i="13"/>
  <c r="I46" i="13"/>
  <c r="H46" i="13"/>
  <c r="G46" i="13"/>
  <c r="F46" i="13"/>
  <c r="O45" i="13"/>
  <c r="P45" i="13" s="1"/>
  <c r="N45" i="13"/>
  <c r="N44" i="13" s="1"/>
  <c r="M45" i="13"/>
  <c r="L45" i="13"/>
  <c r="M44" i="13"/>
  <c r="L44" i="13"/>
  <c r="O44" i="13" s="1"/>
  <c r="P44" i="13" s="1"/>
  <c r="K44" i="13"/>
  <c r="K41" i="13" s="1"/>
  <c r="K40" i="13" s="1"/>
  <c r="K39" i="13" s="1"/>
  <c r="I44" i="13"/>
  <c r="H44" i="13"/>
  <c r="G44" i="13"/>
  <c r="F44" i="13"/>
  <c r="F41" i="13" s="1"/>
  <c r="F40" i="13" s="1"/>
  <c r="M43" i="13"/>
  <c r="M42" i="13" s="1"/>
  <c r="M41" i="13" s="1"/>
  <c r="M40" i="13" s="1"/>
  <c r="L43" i="13"/>
  <c r="L42" i="13" s="1"/>
  <c r="H43" i="13"/>
  <c r="H42" i="13" s="1"/>
  <c r="H41" i="13" s="1"/>
  <c r="H40" i="13" s="1"/>
  <c r="K42" i="13"/>
  <c r="I42" i="13"/>
  <c r="F42" i="13"/>
  <c r="I41" i="13"/>
  <c r="I40" i="13" s="1"/>
  <c r="J39" i="13"/>
  <c r="O38" i="13"/>
  <c r="P38" i="13" s="1"/>
  <c r="P37" i="13"/>
  <c r="O37" i="13"/>
  <c r="N36" i="13"/>
  <c r="N35" i="13" s="1"/>
  <c r="M36" i="13"/>
  <c r="L36" i="13"/>
  <c r="K36" i="13"/>
  <c r="I36" i="13"/>
  <c r="I35" i="13" s="1"/>
  <c r="I34" i="13" s="1"/>
  <c r="H36" i="13"/>
  <c r="H35" i="13" s="1"/>
  <c r="H34" i="13" s="1"/>
  <c r="G36" i="13"/>
  <c r="F36" i="13"/>
  <c r="L35" i="13"/>
  <c r="L34" i="13" s="1"/>
  <c r="K35" i="13"/>
  <c r="K34" i="13" s="1"/>
  <c r="G35" i="13"/>
  <c r="G34" i="13" s="1"/>
  <c r="F35" i="13"/>
  <c r="N34" i="13"/>
  <c r="J34" i="13"/>
  <c r="F34" i="13"/>
  <c r="M33" i="13"/>
  <c r="L33" i="13"/>
  <c r="K33" i="13"/>
  <c r="N33" i="13" s="1"/>
  <c r="J32" i="13"/>
  <c r="J25" i="13" s="1"/>
  <c r="J18" i="13" s="1"/>
  <c r="I32" i="13"/>
  <c r="N31" i="13"/>
  <c r="N30" i="13" s="1"/>
  <c r="M31" i="13"/>
  <c r="M30" i="13" s="1"/>
  <c r="L31" i="13"/>
  <c r="H31" i="13"/>
  <c r="O30" i="13"/>
  <c r="P30" i="13" s="1"/>
  <c r="L30" i="13"/>
  <c r="K30" i="13"/>
  <c r="I30" i="13"/>
  <c r="H30" i="13"/>
  <c r="G30" i="13"/>
  <c r="F30" i="13"/>
  <c r="F25" i="13" s="1"/>
  <c r="O29" i="13"/>
  <c r="P29" i="13" s="1"/>
  <c r="P28" i="13"/>
  <c r="O28" i="13"/>
  <c r="M28" i="13"/>
  <c r="L28" i="13"/>
  <c r="K28" i="13"/>
  <c r="K26" i="13" s="1"/>
  <c r="H28" i="13"/>
  <c r="N28" i="13" s="1"/>
  <c r="M27" i="13"/>
  <c r="O27" i="13" s="1"/>
  <c r="L27" i="13"/>
  <c r="H27" i="13"/>
  <c r="H26" i="13" s="1"/>
  <c r="H25" i="13" s="1"/>
  <c r="M26" i="13"/>
  <c r="M25" i="13" s="1"/>
  <c r="O25" i="13" s="1"/>
  <c r="L26" i="13"/>
  <c r="J26" i="13"/>
  <c r="I26" i="13"/>
  <c r="G26" i="13"/>
  <c r="G25" i="13" s="1"/>
  <c r="F26" i="13"/>
  <c r="L25" i="13"/>
  <c r="O24" i="13"/>
  <c r="N24" i="13"/>
  <c r="N23" i="13" s="1"/>
  <c r="P23" i="13" s="1"/>
  <c r="M24" i="13"/>
  <c r="L24" i="13"/>
  <c r="H24" i="13"/>
  <c r="H23" i="13" s="1"/>
  <c r="M23" i="13"/>
  <c r="L23" i="13"/>
  <c r="O23" i="13" s="1"/>
  <c r="K23" i="13"/>
  <c r="I23" i="13"/>
  <c r="G23" i="13"/>
  <c r="F23" i="13"/>
  <c r="O22" i="13"/>
  <c r="M22" i="13"/>
  <c r="L22" i="13"/>
  <c r="K22" i="13"/>
  <c r="K20" i="13" s="1"/>
  <c r="K19" i="13" s="1"/>
  <c r="M21" i="13"/>
  <c r="M20" i="13" s="1"/>
  <c r="M19" i="13" s="1"/>
  <c r="L21" i="13"/>
  <c r="K21" i="13"/>
  <c r="N21" i="13" s="1"/>
  <c r="J20" i="13"/>
  <c r="I20" i="13"/>
  <c r="G20" i="13"/>
  <c r="F20" i="13"/>
  <c r="F19" i="13" s="1"/>
  <c r="I19" i="13"/>
  <c r="M333" i="13" l="1"/>
  <c r="M332" i="13" s="1"/>
  <c r="M331" i="13" s="1"/>
  <c r="M18" i="13"/>
  <c r="P212" i="13"/>
  <c r="H212" i="13"/>
  <c r="N212" i="13" s="1"/>
  <c r="O53" i="13"/>
  <c r="P53" i="13" s="1"/>
  <c r="M191" i="13"/>
  <c r="M190" i="13" s="1"/>
  <c r="P311" i="13"/>
  <c r="N310" i="13"/>
  <c r="N309" i="13" s="1"/>
  <c r="N308" i="13" s="1"/>
  <c r="G84" i="13"/>
  <c r="G83" i="13" s="1"/>
  <c r="O163" i="13"/>
  <c r="P361" i="13"/>
  <c r="N361" i="13"/>
  <c r="M359" i="13"/>
  <c r="O359" i="13" s="1"/>
  <c r="G431" i="13"/>
  <c r="M435" i="13"/>
  <c r="M431" i="13" s="1"/>
  <c r="O437" i="13"/>
  <c r="P437" i="13" s="1"/>
  <c r="G411" i="13"/>
  <c r="G398" i="13" s="1"/>
  <c r="O429" i="13"/>
  <c r="F427" i="13"/>
  <c r="F411" i="13" s="1"/>
  <c r="H400" i="13"/>
  <c r="H399" i="13" s="1"/>
  <c r="M400" i="13"/>
  <c r="M399" i="13" s="1"/>
  <c r="F355" i="13"/>
  <c r="F349" i="13" s="1"/>
  <c r="F341" i="13"/>
  <c r="G330" i="13"/>
  <c r="M330" i="13" s="1"/>
  <c r="O345" i="13"/>
  <c r="P345" i="13" s="1"/>
  <c r="F342" i="13"/>
  <c r="F330" i="13"/>
  <c r="N333" i="13"/>
  <c r="N332" i="13" s="1"/>
  <c r="N331" i="13" s="1"/>
  <c r="H333" i="13"/>
  <c r="H332" i="13" s="1"/>
  <c r="H331" i="13" s="1"/>
  <c r="I196" i="13"/>
  <c r="P210" i="13"/>
  <c r="K196" i="13"/>
  <c r="J139" i="13"/>
  <c r="O194" i="13"/>
  <c r="O174" i="13"/>
  <c r="H172" i="13"/>
  <c r="G159" i="13"/>
  <c r="G158" i="13" s="1"/>
  <c r="O160" i="13"/>
  <c r="O131" i="13"/>
  <c r="O132" i="13"/>
  <c r="P133" i="13"/>
  <c r="M118" i="13"/>
  <c r="M95" i="13" s="1"/>
  <c r="O123" i="13"/>
  <c r="O124" i="13"/>
  <c r="P124" i="13" s="1"/>
  <c r="N123" i="13"/>
  <c r="P123" i="13" s="1"/>
  <c r="P125" i="13"/>
  <c r="G106" i="13"/>
  <c r="G95" i="13" s="1"/>
  <c r="O109" i="13"/>
  <c r="F95" i="13"/>
  <c r="L108" i="13"/>
  <c r="H108" i="13"/>
  <c r="H107" i="13" s="1"/>
  <c r="H106" i="13" s="1"/>
  <c r="N87" i="13"/>
  <c r="N86" i="13" s="1"/>
  <c r="N85" i="13" s="1"/>
  <c r="O59" i="13"/>
  <c r="O60" i="13"/>
  <c r="M50" i="13"/>
  <c r="M49" i="13" s="1"/>
  <c r="M48" i="13" s="1"/>
  <c r="M39" i="13" s="1"/>
  <c r="O52" i="13"/>
  <c r="P52" i="13" s="1"/>
  <c r="N43" i="13"/>
  <c r="N42" i="13" s="1"/>
  <c r="N41" i="13" s="1"/>
  <c r="N40" i="13" s="1"/>
  <c r="N73" i="13"/>
  <c r="I18" i="13"/>
  <c r="O51" i="13"/>
  <c r="P58" i="13"/>
  <c r="P62" i="13"/>
  <c r="H75" i="13"/>
  <c r="H73" i="13" s="1"/>
  <c r="O76" i="13"/>
  <c r="P76" i="13" s="1"/>
  <c r="P109" i="13"/>
  <c r="N22" i="13"/>
  <c r="N20" i="13" s="1"/>
  <c r="N19" i="13" s="1"/>
  <c r="I25" i="13"/>
  <c r="N27" i="13"/>
  <c r="N26" i="13" s="1"/>
  <c r="N25" i="13" s="1"/>
  <c r="P25" i="13" s="1"/>
  <c r="G42" i="13"/>
  <c r="G41" i="13" s="1"/>
  <c r="G40" i="13" s="1"/>
  <c r="O42" i="13"/>
  <c r="L41" i="13"/>
  <c r="O43" i="13"/>
  <c r="O54" i="13"/>
  <c r="P54" i="13" s="1"/>
  <c r="N56" i="13"/>
  <c r="N55" i="13" s="1"/>
  <c r="L55" i="13"/>
  <c r="O55" i="13" s="1"/>
  <c r="P66" i="13"/>
  <c r="O70" i="13"/>
  <c r="P70" i="13" s="1"/>
  <c r="L69" i="13"/>
  <c r="P100" i="13"/>
  <c r="M107" i="13"/>
  <c r="M106" i="13" s="1"/>
  <c r="O111" i="13"/>
  <c r="P111" i="13" s="1"/>
  <c r="P127" i="13"/>
  <c r="P131" i="13"/>
  <c r="P132" i="13"/>
  <c r="P134" i="13"/>
  <c r="I139" i="13"/>
  <c r="P155" i="13"/>
  <c r="P22" i="13"/>
  <c r="L32" i="13"/>
  <c r="O32" i="13" s="1"/>
  <c r="K32" i="13"/>
  <c r="O75" i="13"/>
  <c r="P75" i="13" s="1"/>
  <c r="P80" i="13"/>
  <c r="L85" i="13"/>
  <c r="P110" i="13"/>
  <c r="L119" i="13"/>
  <c r="O120" i="13"/>
  <c r="P120" i="13" s="1"/>
  <c r="P164" i="13"/>
  <c r="G50" i="13"/>
  <c r="G49" i="13" s="1"/>
  <c r="G48" i="13" s="1"/>
  <c r="H51" i="13"/>
  <c r="F18" i="13"/>
  <c r="O21" i="13"/>
  <c r="P21" i="13" s="1"/>
  <c r="L20" i="13"/>
  <c r="P24" i="13"/>
  <c r="O26" i="13"/>
  <c r="O31" i="13"/>
  <c r="P31" i="13" s="1"/>
  <c r="O33" i="13"/>
  <c r="P33" i="13" s="1"/>
  <c r="O35" i="13"/>
  <c r="P35" i="13" s="1"/>
  <c r="O36" i="13"/>
  <c r="P36" i="13" s="1"/>
  <c r="M35" i="13"/>
  <c r="M34" i="13" s="1"/>
  <c r="L50" i="13"/>
  <c r="O50" i="13" s="1"/>
  <c r="F49" i="13"/>
  <c r="O56" i="13"/>
  <c r="O57" i="13"/>
  <c r="P57" i="13" s="1"/>
  <c r="N60" i="13"/>
  <c r="N59" i="13" s="1"/>
  <c r="P64" i="13"/>
  <c r="N71" i="13"/>
  <c r="N69" i="13" s="1"/>
  <c r="N68" i="13" s="1"/>
  <c r="O79" i="13"/>
  <c r="P79" i="13" s="1"/>
  <c r="M87" i="13"/>
  <c r="M86" i="13" s="1"/>
  <c r="M85" i="13" s="1"/>
  <c r="M84" i="13" s="1"/>
  <c r="M83" i="13" s="1"/>
  <c r="N90" i="13"/>
  <c r="L89" i="13"/>
  <c r="P93" i="13"/>
  <c r="P94" i="13"/>
  <c r="P98" i="13"/>
  <c r="P101" i="13"/>
  <c r="P102" i="13"/>
  <c r="I95" i="13"/>
  <c r="K106" i="13"/>
  <c r="K95" i="13" s="1"/>
  <c r="O113" i="13"/>
  <c r="P113" i="13" s="1"/>
  <c r="P138" i="13"/>
  <c r="P154" i="13"/>
  <c r="G19" i="13"/>
  <c r="G18" i="13" s="1"/>
  <c r="H20" i="13"/>
  <c r="H19" i="13" s="1"/>
  <c r="H18" i="13" s="1"/>
  <c r="I39" i="13"/>
  <c r="P71" i="13"/>
  <c r="N97" i="13"/>
  <c r="N96" i="13" s="1"/>
  <c r="L92" i="13"/>
  <c r="L97" i="13"/>
  <c r="L116" i="13"/>
  <c r="L128" i="13"/>
  <c r="O128" i="13" s="1"/>
  <c r="P128" i="13" s="1"/>
  <c r="G148" i="13"/>
  <c r="K148" i="13"/>
  <c r="K147" i="13" s="1"/>
  <c r="K139" i="13" s="1"/>
  <c r="P156" i="13"/>
  <c r="P157" i="13"/>
  <c r="F159" i="13"/>
  <c r="F158" i="13" s="1"/>
  <c r="N165" i="13"/>
  <c r="N164" i="13" s="1"/>
  <c r="N167" i="13"/>
  <c r="N166" i="13" s="1"/>
  <c r="P166" i="13" s="1"/>
  <c r="H166" i="13"/>
  <c r="O173" i="13"/>
  <c r="P173" i="13" s="1"/>
  <c r="L172" i="13"/>
  <c r="O172" i="13" s="1"/>
  <c r="P172" i="13" s="1"/>
  <c r="O175" i="13"/>
  <c r="P178" i="13"/>
  <c r="O182" i="13"/>
  <c r="P182" i="13" s="1"/>
  <c r="L191" i="13"/>
  <c r="O204" i="13"/>
  <c r="N204" i="13"/>
  <c r="O205" i="13"/>
  <c r="M218" i="13"/>
  <c r="K218" i="13"/>
  <c r="J217" i="13"/>
  <c r="L220" i="13"/>
  <c r="N222" i="13"/>
  <c r="P225" i="13"/>
  <c r="F215" i="13"/>
  <c r="F259" i="13"/>
  <c r="H296" i="13"/>
  <c r="H259" i="13" s="1"/>
  <c r="L140" i="13"/>
  <c r="N146" i="13"/>
  <c r="P146" i="13" s="1"/>
  <c r="H144" i="13"/>
  <c r="N144" i="13" s="1"/>
  <c r="N140" i="13" s="1"/>
  <c r="O153" i="13"/>
  <c r="P153" i="13" s="1"/>
  <c r="N155" i="13"/>
  <c r="N154" i="13" s="1"/>
  <c r="N148" i="13" s="1"/>
  <c r="N147" i="13" s="1"/>
  <c r="L159" i="13"/>
  <c r="O161" i="13"/>
  <c r="O162" i="13"/>
  <c r="P162" i="13" s="1"/>
  <c r="O167" i="13"/>
  <c r="O168" i="13"/>
  <c r="P168" i="13" s="1"/>
  <c r="O171" i="13"/>
  <c r="P171" i="13" s="1"/>
  <c r="H192" i="13"/>
  <c r="O193" i="13"/>
  <c r="P193" i="13" s="1"/>
  <c r="H194" i="13"/>
  <c r="O195" i="13"/>
  <c r="P195" i="13" s="1"/>
  <c r="L208" i="13"/>
  <c r="O208" i="13" s="1"/>
  <c r="P214" i="13"/>
  <c r="O219" i="13"/>
  <c r="P219" i="13" s="1"/>
  <c r="N219" i="13"/>
  <c r="M221" i="13"/>
  <c r="M220" i="13" s="1"/>
  <c r="H221" i="13"/>
  <c r="G220" i="13"/>
  <c r="H220" i="13" s="1"/>
  <c r="I215" i="13"/>
  <c r="O228" i="13"/>
  <c r="P228" i="13" s="1"/>
  <c r="L227" i="13"/>
  <c r="J215" i="13"/>
  <c r="J17" i="13" s="1"/>
  <c r="J16" i="13" s="1"/>
  <c r="P239" i="13"/>
  <c r="P241" i="13"/>
  <c r="P149" i="13"/>
  <c r="P163" i="13"/>
  <c r="P165" i="13"/>
  <c r="N175" i="13"/>
  <c r="N174" i="13" s="1"/>
  <c r="P174" i="13" s="1"/>
  <c r="H174" i="13"/>
  <c r="P181" i="13"/>
  <c r="G196" i="13"/>
  <c r="O198" i="13"/>
  <c r="P198" i="13" s="1"/>
  <c r="L197" i="13"/>
  <c r="G207" i="13"/>
  <c r="H208" i="13"/>
  <c r="N208" i="13" s="1"/>
  <c r="O213" i="13"/>
  <c r="P213" i="13" s="1"/>
  <c r="P223" i="13"/>
  <c r="N260" i="13"/>
  <c r="N259" i="13" s="1"/>
  <c r="R259" i="13" s="1"/>
  <c r="O142" i="13"/>
  <c r="P142" i="13" s="1"/>
  <c r="N161" i="13"/>
  <c r="N160" i="13" s="1"/>
  <c r="H160" i="13"/>
  <c r="H159" i="13" s="1"/>
  <c r="H158" i="13" s="1"/>
  <c r="P179" i="13"/>
  <c r="M180" i="13"/>
  <c r="P183" i="13"/>
  <c r="P192" i="13"/>
  <c r="P194" i="13"/>
  <c r="L202" i="13"/>
  <c r="N206" i="13"/>
  <c r="P206" i="13" s="1"/>
  <c r="H205" i="13"/>
  <c r="P222" i="13"/>
  <c r="L257" i="13"/>
  <c r="O258" i="13"/>
  <c r="P258" i="13" s="1"/>
  <c r="L152" i="13"/>
  <c r="O152" i="13" s="1"/>
  <c r="P152" i="13" s="1"/>
  <c r="G231" i="13"/>
  <c r="G215" i="13" s="1"/>
  <c r="M215" i="13" s="1"/>
  <c r="O234" i="13"/>
  <c r="P234" i="13" s="1"/>
  <c r="L233" i="13"/>
  <c r="P242" i="13"/>
  <c r="O246" i="13"/>
  <c r="P246" i="13" s="1"/>
  <c r="K250" i="13"/>
  <c r="P253" i="13"/>
  <c r="H257" i="13"/>
  <c r="H256" i="13" s="1"/>
  <c r="H255" i="13" s="1"/>
  <c r="H250" i="13" s="1"/>
  <c r="G261" i="13"/>
  <c r="G260" i="13" s="1"/>
  <c r="G259" i="13" s="1"/>
  <c r="O262" i="13"/>
  <c r="P262" i="13" s="1"/>
  <c r="L261" i="13"/>
  <c r="O264" i="13"/>
  <c r="P264" i="13" s="1"/>
  <c r="O274" i="13"/>
  <c r="P274" i="13" s="1"/>
  <c r="O277" i="13"/>
  <c r="P277" i="13" s="1"/>
  <c r="L276" i="13"/>
  <c r="O285" i="13"/>
  <c r="P285" i="13" s="1"/>
  <c r="L284" i="13"/>
  <c r="I287" i="13"/>
  <c r="I286" i="13" s="1"/>
  <c r="I259" i="13" s="1"/>
  <c r="O291" i="13"/>
  <c r="P291" i="13" s="1"/>
  <c r="K296" i="13"/>
  <c r="K259" i="13" s="1"/>
  <c r="O310" i="13"/>
  <c r="P310" i="13" s="1"/>
  <c r="L309" i="13"/>
  <c r="O312" i="13"/>
  <c r="P312" i="13" s="1"/>
  <c r="P317" i="13"/>
  <c r="O320" i="13"/>
  <c r="P320" i="13" s="1"/>
  <c r="O343" i="13"/>
  <c r="L342" i="13"/>
  <c r="O342" i="13" s="1"/>
  <c r="L341" i="13"/>
  <c r="O341" i="13" s="1"/>
  <c r="O240" i="13"/>
  <c r="P240" i="13" s="1"/>
  <c r="H246" i="13"/>
  <c r="H245" i="13" s="1"/>
  <c r="H244" i="13" s="1"/>
  <c r="O247" i="13"/>
  <c r="P247" i="13" s="1"/>
  <c r="O249" i="13"/>
  <c r="N249" i="13"/>
  <c r="N248" i="13" s="1"/>
  <c r="N245" i="13" s="1"/>
  <c r="N244" i="13" s="1"/>
  <c r="L248" i="13"/>
  <c r="O248" i="13" s="1"/>
  <c r="O252" i="13"/>
  <c r="P252" i="13" s="1"/>
  <c r="L251" i="13"/>
  <c r="M261" i="13"/>
  <c r="M260" i="13" s="1"/>
  <c r="M259" i="13" s="1"/>
  <c r="O266" i="13"/>
  <c r="P266" i="13" s="1"/>
  <c r="P269" i="13"/>
  <c r="P280" i="13"/>
  <c r="O289" i="13"/>
  <c r="P289" i="13" s="1"/>
  <c r="L288" i="13"/>
  <c r="J259" i="13"/>
  <c r="O301" i="13"/>
  <c r="P301" i="13" s="1"/>
  <c r="L300" i="13"/>
  <c r="O300" i="13" s="1"/>
  <c r="P300" i="13" s="1"/>
  <c r="G307" i="13"/>
  <c r="H310" i="13"/>
  <c r="H309" i="13" s="1"/>
  <c r="H308" i="13" s="1"/>
  <c r="H307" i="13" s="1"/>
  <c r="M309" i="13"/>
  <c r="M308" i="13" s="1"/>
  <c r="M307" i="13" s="1"/>
  <c r="O316" i="13"/>
  <c r="P316" i="13" s="1"/>
  <c r="O319" i="13"/>
  <c r="P319" i="13" s="1"/>
  <c r="O333" i="13"/>
  <c r="L332" i="13"/>
  <c r="P353" i="13"/>
  <c r="O364" i="13"/>
  <c r="P364" i="13" s="1"/>
  <c r="L363" i="13"/>
  <c r="P395" i="13"/>
  <c r="N306" i="13"/>
  <c r="P306" i="13" s="1"/>
  <c r="N305" i="13"/>
  <c r="P305" i="13" s="1"/>
  <c r="O325" i="13"/>
  <c r="L324" i="13"/>
  <c r="P263" i="13"/>
  <c r="P279" i="13"/>
  <c r="P290" i="13"/>
  <c r="O293" i="13"/>
  <c r="P293" i="13" s="1"/>
  <c r="L292" i="13"/>
  <c r="O292" i="13" s="1"/>
  <c r="P292" i="13" s="1"/>
  <c r="O299" i="13"/>
  <c r="P299" i="13" s="1"/>
  <c r="L298" i="13"/>
  <c r="H324" i="13"/>
  <c r="H323" i="13" s="1"/>
  <c r="N325" i="13"/>
  <c r="N324" i="13" s="1"/>
  <c r="N323" i="13" s="1"/>
  <c r="N307" i="13" s="1"/>
  <c r="L273" i="13"/>
  <c r="M338" i="13"/>
  <c r="O339" i="13"/>
  <c r="P339" i="13" s="1"/>
  <c r="H344" i="13"/>
  <c r="N351" i="13"/>
  <c r="N350" i="13" s="1"/>
  <c r="O357" i="13"/>
  <c r="P357" i="13" s="1"/>
  <c r="F368" i="13"/>
  <c r="N376" i="13"/>
  <c r="H375" i="13"/>
  <c r="N375" i="13" s="1"/>
  <c r="O379" i="13"/>
  <c r="N379" i="13"/>
  <c r="N378" i="13" s="1"/>
  <c r="N377" i="13" s="1"/>
  <c r="L378" i="13"/>
  <c r="L392" i="13"/>
  <c r="F391" i="13"/>
  <c r="L393" i="13"/>
  <c r="O393" i="13" s="1"/>
  <c r="P393" i="13" s="1"/>
  <c r="O335" i="13"/>
  <c r="P335" i="13" s="1"/>
  <c r="P346" i="13"/>
  <c r="N353" i="13"/>
  <c r="H351" i="13"/>
  <c r="H350" i="13" s="1"/>
  <c r="O360" i="13"/>
  <c r="P360" i="13" s="1"/>
  <c r="H363" i="13"/>
  <c r="H362" i="13" s="1"/>
  <c r="P371" i="13"/>
  <c r="N395" i="13"/>
  <c r="H393" i="13"/>
  <c r="H392" i="13" s="1"/>
  <c r="H391" i="13" s="1"/>
  <c r="O401" i="13"/>
  <c r="P401" i="13" s="1"/>
  <c r="O350" i="13"/>
  <c r="P350" i="13" s="1"/>
  <c r="O370" i="13"/>
  <c r="P370" i="13" s="1"/>
  <c r="N390" i="13"/>
  <c r="N389" i="13" s="1"/>
  <c r="N388" i="13" s="1"/>
  <c r="N387" i="13" s="1"/>
  <c r="O408" i="13"/>
  <c r="P408" i="13" s="1"/>
  <c r="L407" i="13"/>
  <c r="O338" i="13"/>
  <c r="P338" i="13" s="1"/>
  <c r="M344" i="13"/>
  <c r="O344" i="13" s="1"/>
  <c r="I348" i="13"/>
  <c r="O351" i="13"/>
  <c r="L355" i="13"/>
  <c r="G366" i="13"/>
  <c r="G363" i="13" s="1"/>
  <c r="G362" i="13" s="1"/>
  <c r="M367" i="13"/>
  <c r="M369" i="13"/>
  <c r="M368" i="13" s="1"/>
  <c r="P390" i="13"/>
  <c r="H359" i="13"/>
  <c r="H355" i="13" s="1"/>
  <c r="O385" i="13"/>
  <c r="P385" i="13" s="1"/>
  <c r="O389" i="13"/>
  <c r="P389" i="13" s="1"/>
  <c r="L388" i="13"/>
  <c r="O396" i="13"/>
  <c r="P396" i="13" s="1"/>
  <c r="G406" i="13"/>
  <c r="G405" i="13" s="1"/>
  <c r="H413" i="13"/>
  <c r="H412" i="13" s="1"/>
  <c r="P423" i="13"/>
  <c r="K421" i="13"/>
  <c r="K411" i="13" s="1"/>
  <c r="K398" i="13" s="1"/>
  <c r="O425" i="13"/>
  <c r="P425" i="13" s="1"/>
  <c r="H431" i="13"/>
  <c r="N435" i="13"/>
  <c r="N431" i="13" s="1"/>
  <c r="O436" i="13"/>
  <c r="G380" i="13"/>
  <c r="G368" i="13" s="1"/>
  <c r="O380" i="13"/>
  <c r="P380" i="13" s="1"/>
  <c r="O382" i="13"/>
  <c r="P382" i="13" s="1"/>
  <c r="N393" i="13"/>
  <c r="N392" i="13" s="1"/>
  <c r="N391" i="13" s="1"/>
  <c r="P402" i="13"/>
  <c r="O410" i="13"/>
  <c r="P410" i="13" s="1"/>
  <c r="M415" i="13"/>
  <c r="M412" i="13" s="1"/>
  <c r="H415" i="13"/>
  <c r="N415" i="13" s="1"/>
  <c r="O417" i="13"/>
  <c r="P417" i="13" s="1"/>
  <c r="P418" i="13"/>
  <c r="O424" i="13"/>
  <c r="P424" i="13" s="1"/>
  <c r="O421" i="13"/>
  <c r="P421" i="13" s="1"/>
  <c r="O414" i="13"/>
  <c r="L413" i="13"/>
  <c r="N414" i="13"/>
  <c r="N413" i="13" s="1"/>
  <c r="N412" i="13" s="1"/>
  <c r="L427" i="13"/>
  <c r="H429" i="13"/>
  <c r="N429" i="13" s="1"/>
  <c r="P429" i="13" s="1"/>
  <c r="H436" i="13"/>
  <c r="N436" i="13" s="1"/>
  <c r="M430" i="13"/>
  <c r="M428" i="13" s="1"/>
  <c r="L431" i="13"/>
  <c r="N419" i="12"/>
  <c r="N420" i="12"/>
  <c r="M419" i="12"/>
  <c r="M420" i="12"/>
  <c r="H419" i="12"/>
  <c r="H420" i="12"/>
  <c r="G419" i="12"/>
  <c r="G52" i="12"/>
  <c r="G51" i="12"/>
  <c r="M344" i="12"/>
  <c r="G344" i="12"/>
  <c r="H345" i="12"/>
  <c r="P59" i="13" l="1"/>
  <c r="P333" i="13"/>
  <c r="P27" i="13"/>
  <c r="N18" i="13"/>
  <c r="N50" i="13"/>
  <c r="N359" i="13"/>
  <c r="P359" i="13" s="1"/>
  <c r="M355" i="13"/>
  <c r="M349" i="13" s="1"/>
  <c r="O431" i="13"/>
  <c r="O435" i="13"/>
  <c r="N355" i="13"/>
  <c r="N349" i="13" s="1"/>
  <c r="F348" i="13"/>
  <c r="F17" i="13" s="1"/>
  <c r="P175" i="13"/>
  <c r="H118" i="13"/>
  <c r="H95" i="13" s="1"/>
  <c r="N118" i="13"/>
  <c r="N95" i="13" s="1"/>
  <c r="O108" i="13"/>
  <c r="P108" i="13" s="1"/>
  <c r="L107" i="13"/>
  <c r="O107" i="13" s="1"/>
  <c r="P107" i="13" s="1"/>
  <c r="P43" i="13"/>
  <c r="P42" i="13"/>
  <c r="M427" i="13"/>
  <c r="O427" i="13" s="1"/>
  <c r="O428" i="13"/>
  <c r="N366" i="13"/>
  <c r="N363" i="13" s="1"/>
  <c r="N362" i="13" s="1"/>
  <c r="O367" i="13"/>
  <c r="M366" i="13"/>
  <c r="O369" i="13"/>
  <c r="O392" i="13"/>
  <c r="P392" i="13" s="1"/>
  <c r="L391" i="13"/>
  <c r="O391" i="13" s="1"/>
  <c r="P391" i="13" s="1"/>
  <c r="G348" i="13"/>
  <c r="O273" i="13"/>
  <c r="P273" i="13" s="1"/>
  <c r="L272" i="13"/>
  <c r="O272" i="13" s="1"/>
  <c r="P272" i="13" s="1"/>
  <c r="L308" i="13"/>
  <c r="O309" i="13"/>
  <c r="P309" i="13" s="1"/>
  <c r="P431" i="13"/>
  <c r="O413" i="13"/>
  <c r="P413" i="13" s="1"/>
  <c r="P436" i="13"/>
  <c r="O378" i="13"/>
  <c r="P378" i="13" s="1"/>
  <c r="L377" i="13"/>
  <c r="O377" i="13" s="1"/>
  <c r="P377" i="13" s="1"/>
  <c r="H343" i="13"/>
  <c r="N344" i="13"/>
  <c r="P344" i="13" s="1"/>
  <c r="P325" i="13"/>
  <c r="L331" i="13"/>
  <c r="O332" i="13"/>
  <c r="P332" i="13" s="1"/>
  <c r="O251" i="13"/>
  <c r="P251" i="13" s="1"/>
  <c r="P249" i="13"/>
  <c r="L283" i="13"/>
  <c r="O284" i="13"/>
  <c r="P284" i="13" s="1"/>
  <c r="O257" i="13"/>
  <c r="P257" i="13" s="1"/>
  <c r="L256" i="13"/>
  <c r="O202" i="13"/>
  <c r="P202" i="13" s="1"/>
  <c r="L201" i="13"/>
  <c r="O227" i="13"/>
  <c r="P227" i="13" s="1"/>
  <c r="L226" i="13"/>
  <c r="O226" i="13" s="1"/>
  <c r="P226" i="13" s="1"/>
  <c r="P161" i="13"/>
  <c r="L148" i="13"/>
  <c r="L215" i="13"/>
  <c r="O215" i="13" s="1"/>
  <c r="K217" i="13"/>
  <c r="J216" i="13"/>
  <c r="M217" i="13"/>
  <c r="L190" i="13"/>
  <c r="O190" i="13" s="1"/>
  <c r="P190" i="13" s="1"/>
  <c r="O191" i="13"/>
  <c r="P191" i="13" s="1"/>
  <c r="N221" i="13"/>
  <c r="L19" i="13"/>
  <c r="O20" i="13"/>
  <c r="P20" i="13" s="1"/>
  <c r="O87" i="13"/>
  <c r="P87" i="13" s="1"/>
  <c r="O34" i="13"/>
  <c r="P34" i="13" s="1"/>
  <c r="P160" i="13"/>
  <c r="O119" i="13"/>
  <c r="P119" i="13" s="1"/>
  <c r="L118" i="13"/>
  <c r="O118" i="13" s="1"/>
  <c r="O86" i="13"/>
  <c r="P86" i="13" s="1"/>
  <c r="P32" i="13"/>
  <c r="H140" i="13"/>
  <c r="G39" i="13"/>
  <c r="H428" i="13"/>
  <c r="L349" i="13"/>
  <c r="O355" i="13"/>
  <c r="H349" i="13"/>
  <c r="M159" i="13"/>
  <c r="M158" i="13" s="1"/>
  <c r="N180" i="13"/>
  <c r="N159" i="13" s="1"/>
  <c r="N158" i="13" s="1"/>
  <c r="L158" i="13"/>
  <c r="G147" i="13"/>
  <c r="G139" i="13" s="1"/>
  <c r="M148" i="13"/>
  <c r="M147" i="13" s="1"/>
  <c r="O97" i="13"/>
  <c r="P97" i="13" s="1"/>
  <c r="L96" i="13"/>
  <c r="O89" i="13"/>
  <c r="L88" i="13"/>
  <c r="O88" i="13" s="1"/>
  <c r="L73" i="13"/>
  <c r="O73" i="13" s="1"/>
  <c r="P73" i="13" s="1"/>
  <c r="O74" i="13"/>
  <c r="P74" i="13" s="1"/>
  <c r="P144" i="13"/>
  <c r="I17" i="13"/>
  <c r="I16" i="13" s="1"/>
  <c r="O430" i="13"/>
  <c r="N430" i="13"/>
  <c r="P414" i="13"/>
  <c r="L399" i="13"/>
  <c r="O400" i="13"/>
  <c r="P400" i="13" s="1"/>
  <c r="L362" i="13"/>
  <c r="L232" i="13"/>
  <c r="O233" i="13"/>
  <c r="P233" i="13" s="1"/>
  <c r="P435" i="13"/>
  <c r="O388" i="13"/>
  <c r="P388" i="13" s="1"/>
  <c r="L387" i="13"/>
  <c r="O387" i="13" s="1"/>
  <c r="P387" i="13" s="1"/>
  <c r="H369" i="13"/>
  <c r="H368" i="13" s="1"/>
  <c r="P351" i="13"/>
  <c r="L406" i="13"/>
  <c r="O407" i="13"/>
  <c r="P407" i="13" s="1"/>
  <c r="P379" i="13"/>
  <c r="O288" i="13"/>
  <c r="P288" i="13" s="1"/>
  <c r="L287" i="13"/>
  <c r="P248" i="13"/>
  <c r="H215" i="13"/>
  <c r="N215" i="13" s="1"/>
  <c r="O276" i="13"/>
  <c r="P276" i="13" s="1"/>
  <c r="L275" i="13"/>
  <c r="O275" i="13" s="1"/>
  <c r="P275" i="13" s="1"/>
  <c r="L260" i="13"/>
  <c r="O261" i="13"/>
  <c r="P261" i="13" s="1"/>
  <c r="L245" i="13"/>
  <c r="H200" i="13"/>
  <c r="N205" i="13"/>
  <c r="N200" i="13" s="1"/>
  <c r="M207" i="13"/>
  <c r="M196" i="13" s="1"/>
  <c r="N207" i="13"/>
  <c r="P208" i="13"/>
  <c r="H191" i="13"/>
  <c r="H190" i="13" s="1"/>
  <c r="P167" i="13"/>
  <c r="O218" i="13"/>
  <c r="P218" i="13" s="1"/>
  <c r="N218" i="13"/>
  <c r="P204" i="13"/>
  <c r="O92" i="13"/>
  <c r="P92" i="13" s="1"/>
  <c r="L91" i="13"/>
  <c r="O91" i="13" s="1"/>
  <c r="P91" i="13" s="1"/>
  <c r="P90" i="13"/>
  <c r="N89" i="13"/>
  <c r="N88" i="13" s="1"/>
  <c r="N84" i="13" s="1"/>
  <c r="N83" i="13" s="1"/>
  <c r="P56" i="13"/>
  <c r="P26" i="13"/>
  <c r="N51" i="13"/>
  <c r="H50" i="13"/>
  <c r="H49" i="13" s="1"/>
  <c r="P55" i="13"/>
  <c r="O41" i="13"/>
  <c r="P41" i="13" s="1"/>
  <c r="L40" i="13"/>
  <c r="P60" i="13"/>
  <c r="O298" i="13"/>
  <c r="P298" i="13" s="1"/>
  <c r="L297" i="13"/>
  <c r="L323" i="13"/>
  <c r="O323" i="13" s="1"/>
  <c r="P323" i="13" s="1"/>
  <c r="O324" i="13"/>
  <c r="P324" i="13" s="1"/>
  <c r="O197" i="13"/>
  <c r="P197" i="13" s="1"/>
  <c r="O180" i="13"/>
  <c r="P180" i="13" s="1"/>
  <c r="O140" i="13"/>
  <c r="P140" i="13" s="1"/>
  <c r="O220" i="13"/>
  <c r="N220" i="13"/>
  <c r="F196" i="13"/>
  <c r="F139" i="13" s="1"/>
  <c r="O116" i="13"/>
  <c r="P116" i="13" s="1"/>
  <c r="L115" i="13"/>
  <c r="O221" i="13"/>
  <c r="P221" i="13" s="1"/>
  <c r="F48" i="13"/>
  <c r="F39" i="13" s="1"/>
  <c r="L49" i="13"/>
  <c r="O85" i="13"/>
  <c r="P85" i="13" s="1"/>
  <c r="N32" i="13"/>
  <c r="K25" i="13"/>
  <c r="K18" i="13" s="1"/>
  <c r="K17" i="13" s="1"/>
  <c r="K16" i="13" s="1"/>
  <c r="O69" i="13"/>
  <c r="P69" i="13" s="1"/>
  <c r="L68" i="13"/>
  <c r="O68" i="13" s="1"/>
  <c r="P68" i="13" s="1"/>
  <c r="G60" i="12"/>
  <c r="P50" i="13" l="1"/>
  <c r="P88" i="13"/>
  <c r="N348" i="13"/>
  <c r="P355" i="13"/>
  <c r="N196" i="13"/>
  <c r="N139" i="13" s="1"/>
  <c r="O159" i="13"/>
  <c r="P159" i="13" s="1"/>
  <c r="O158" i="13"/>
  <c r="G17" i="13"/>
  <c r="G16" i="13" s="1"/>
  <c r="P118" i="13"/>
  <c r="N49" i="13"/>
  <c r="H48" i="13"/>
  <c r="H39" i="13" s="1"/>
  <c r="L244" i="13"/>
  <c r="O244" i="13" s="1"/>
  <c r="P244" i="13" s="1"/>
  <c r="O245" i="13"/>
  <c r="P245" i="13" s="1"/>
  <c r="O287" i="13"/>
  <c r="P287" i="13" s="1"/>
  <c r="L286" i="13"/>
  <c r="O286" i="13" s="1"/>
  <c r="P286" i="13" s="1"/>
  <c r="O406" i="13"/>
  <c r="P406" i="13" s="1"/>
  <c r="L405" i="13"/>
  <c r="O405" i="13" s="1"/>
  <c r="P405" i="13" s="1"/>
  <c r="O399" i="13"/>
  <c r="P399" i="13" s="1"/>
  <c r="N428" i="13"/>
  <c r="N427" i="13" s="1"/>
  <c r="N411" i="13" s="1"/>
  <c r="N398" i="13" s="1"/>
  <c r="H427" i="13"/>
  <c r="H411" i="13" s="1"/>
  <c r="H398" i="13" s="1"/>
  <c r="O283" i="13"/>
  <c r="P283" i="13" s="1"/>
  <c r="L282" i="13"/>
  <c r="O282" i="13" s="1"/>
  <c r="P282" i="13" s="1"/>
  <c r="P369" i="13"/>
  <c r="O40" i="13"/>
  <c r="P40" i="13" s="1"/>
  <c r="P89" i="13"/>
  <c r="M139" i="13"/>
  <c r="O207" i="13"/>
  <c r="P207" i="13" s="1"/>
  <c r="P51" i="13"/>
  <c r="P205" i="13"/>
  <c r="P215" i="13"/>
  <c r="L255" i="13"/>
  <c r="O256" i="13"/>
  <c r="P256" i="13" s="1"/>
  <c r="O331" i="13"/>
  <c r="P331" i="13" s="1"/>
  <c r="L330" i="13"/>
  <c r="O330" i="13" s="1"/>
  <c r="H342" i="13"/>
  <c r="H341" i="13"/>
  <c r="N343" i="13"/>
  <c r="L411" i="13"/>
  <c r="O412" i="13"/>
  <c r="P412" i="13" s="1"/>
  <c r="L368" i="13"/>
  <c r="O368" i="13" s="1"/>
  <c r="P368" i="13" s="1"/>
  <c r="O260" i="13"/>
  <c r="P260" i="13" s="1"/>
  <c r="L259" i="13"/>
  <c r="O259" i="13" s="1"/>
  <c r="P259" i="13" s="1"/>
  <c r="O217" i="13"/>
  <c r="N217" i="13"/>
  <c r="O349" i="13"/>
  <c r="P349" i="13" s="1"/>
  <c r="O148" i="13"/>
  <c r="P148" i="13" s="1"/>
  <c r="L147" i="13"/>
  <c r="O308" i="13"/>
  <c r="P308" i="13" s="1"/>
  <c r="L307" i="13"/>
  <c r="O307" i="13" s="1"/>
  <c r="P307" i="13" s="1"/>
  <c r="O366" i="13"/>
  <c r="P366" i="13" s="1"/>
  <c r="M363" i="13"/>
  <c r="L84" i="13"/>
  <c r="O115" i="13"/>
  <c r="P115" i="13" s="1"/>
  <c r="L106" i="13"/>
  <c r="O106" i="13" s="1"/>
  <c r="P106" i="13" s="1"/>
  <c r="P220" i="13"/>
  <c r="H196" i="13"/>
  <c r="H139" i="13" s="1"/>
  <c r="L231" i="13"/>
  <c r="O231" i="13" s="1"/>
  <c r="P231" i="13" s="1"/>
  <c r="O232" i="13"/>
  <c r="P232" i="13" s="1"/>
  <c r="P430" i="13"/>
  <c r="O96" i="13"/>
  <c r="P96" i="13" s="1"/>
  <c r="P158" i="13"/>
  <c r="M411" i="13"/>
  <c r="M398" i="13" s="1"/>
  <c r="M216" i="13"/>
  <c r="O216" i="13" s="1"/>
  <c r="K216" i="13"/>
  <c r="N216" i="13" s="1"/>
  <c r="O201" i="13"/>
  <c r="P201" i="13" s="1"/>
  <c r="L200" i="13"/>
  <c r="P367" i="13"/>
  <c r="P428" i="13"/>
  <c r="O49" i="13"/>
  <c r="L48" i="13"/>
  <c r="O48" i="13" s="1"/>
  <c r="L296" i="13"/>
  <c r="O296" i="13" s="1"/>
  <c r="P296" i="13" s="1"/>
  <c r="O297" i="13"/>
  <c r="P297" i="13" s="1"/>
  <c r="H348" i="13"/>
  <c r="O19" i="13"/>
  <c r="P19" i="13" s="1"/>
  <c r="L18" i="13"/>
  <c r="G43" i="12"/>
  <c r="L348" i="13" l="1"/>
  <c r="O411" i="13"/>
  <c r="P411" i="13" s="1"/>
  <c r="L95" i="13"/>
  <c r="O95" i="13" s="1"/>
  <c r="P95" i="13" s="1"/>
  <c r="P49" i="13"/>
  <c r="O200" i="13"/>
  <c r="P200" i="13" s="1"/>
  <c r="L196" i="13"/>
  <c r="O196" i="13" s="1"/>
  <c r="P196" i="13" s="1"/>
  <c r="O84" i="13"/>
  <c r="P84" i="13" s="1"/>
  <c r="L83" i="13"/>
  <c r="O83" i="13" s="1"/>
  <c r="P83" i="13" s="1"/>
  <c r="P427" i="13"/>
  <c r="M362" i="13"/>
  <c r="O363" i="13"/>
  <c r="P363" i="13" s="1"/>
  <c r="O147" i="13"/>
  <c r="P147" i="13" s="1"/>
  <c r="N342" i="13"/>
  <c r="P342" i="13" s="1"/>
  <c r="P343" i="13"/>
  <c r="N341" i="13"/>
  <c r="H330" i="13"/>
  <c r="H17" i="13" s="1"/>
  <c r="H16" i="13" s="1"/>
  <c r="L39" i="13"/>
  <c r="O39" i="13" s="1"/>
  <c r="L398" i="13"/>
  <c r="O398" i="13" s="1"/>
  <c r="P398" i="13" s="1"/>
  <c r="O18" i="13"/>
  <c r="P18" i="13" s="1"/>
  <c r="P216" i="13"/>
  <c r="P217" i="13"/>
  <c r="O255" i="13"/>
  <c r="P255" i="13" s="1"/>
  <c r="L250" i="13"/>
  <c r="O250" i="13" s="1"/>
  <c r="P250" i="13" s="1"/>
  <c r="N48" i="13"/>
  <c r="N39" i="13" s="1"/>
  <c r="R49" i="13"/>
  <c r="G367" i="12"/>
  <c r="G360" i="12"/>
  <c r="G87" i="12"/>
  <c r="L139" i="13" l="1"/>
  <c r="O139" i="13" s="1"/>
  <c r="P139" i="13" s="1"/>
  <c r="L17" i="13"/>
  <c r="L16" i="13" s="1"/>
  <c r="P48" i="13"/>
  <c r="M348" i="13"/>
  <c r="O362" i="13"/>
  <c r="P362" i="13" s="1"/>
  <c r="N330" i="13"/>
  <c r="P330" i="13" s="1"/>
  <c r="P341" i="13"/>
  <c r="P39" i="13"/>
  <c r="G354" i="11"/>
  <c r="N17" i="13" l="1"/>
  <c r="N16" i="13" s="1"/>
  <c r="M17" i="13"/>
  <c r="O348" i="13"/>
  <c r="P348" i="13" s="1"/>
  <c r="G74" i="12"/>
  <c r="H74" i="12" s="1"/>
  <c r="N81" i="12"/>
  <c r="M81" i="12"/>
  <c r="M82" i="12"/>
  <c r="H82" i="12"/>
  <c r="N82" i="12" s="1"/>
  <c r="H369" i="12"/>
  <c r="G369" i="12"/>
  <c r="N375" i="12"/>
  <c r="N376" i="12"/>
  <c r="M375" i="12"/>
  <c r="M376" i="12"/>
  <c r="H375" i="12"/>
  <c r="G375" i="12"/>
  <c r="H376" i="12"/>
  <c r="M16" i="13" l="1"/>
  <c r="O16" i="13" s="1"/>
  <c r="P16" i="13" s="1"/>
  <c r="O17" i="13"/>
  <c r="P17" i="13" s="1"/>
  <c r="M416" i="12"/>
  <c r="G415" i="12"/>
  <c r="H416" i="12"/>
  <c r="N416" i="12" s="1"/>
  <c r="M404" i="12"/>
  <c r="G403" i="12"/>
  <c r="M403" i="12" s="1"/>
  <c r="H404" i="12"/>
  <c r="N404" i="12" s="1"/>
  <c r="M415" i="12" l="1"/>
  <c r="M412" i="12" s="1"/>
  <c r="G412" i="12"/>
  <c r="H415" i="12"/>
  <c r="H412" i="12" s="1"/>
  <c r="H403" i="12"/>
  <c r="N403" i="12" s="1"/>
  <c r="N415" i="12" l="1"/>
  <c r="H374" i="12"/>
  <c r="N374" i="12" s="1"/>
  <c r="L374" i="12"/>
  <c r="O374" i="12" s="1"/>
  <c r="M374" i="12"/>
  <c r="P374" i="12" l="1"/>
  <c r="G429" i="12" l="1"/>
  <c r="H360" i="12"/>
  <c r="L109" i="12"/>
  <c r="L108" i="12" s="1"/>
  <c r="N299" i="12"/>
  <c r="L299" i="12"/>
  <c r="N277" i="12"/>
  <c r="L277" i="12"/>
  <c r="N274" i="12"/>
  <c r="L274" i="12"/>
  <c r="G175" i="12" l="1"/>
  <c r="G161" i="12"/>
  <c r="G430" i="12" l="1"/>
  <c r="G167" i="12" l="1"/>
  <c r="J196" i="12"/>
  <c r="N207" i="12"/>
  <c r="M207" i="12"/>
  <c r="K207" i="12"/>
  <c r="J207" i="12"/>
  <c r="H207" i="12"/>
  <c r="G207" i="12"/>
  <c r="N210" i="12"/>
  <c r="N211" i="12"/>
  <c r="M210" i="12"/>
  <c r="M211" i="12"/>
  <c r="K210" i="12"/>
  <c r="K211" i="12"/>
  <c r="H210" i="12"/>
  <c r="H211" i="12"/>
  <c r="L153" i="12" l="1"/>
  <c r="L149" i="12"/>
  <c r="L150" i="12"/>
  <c r="K109" i="12"/>
  <c r="H393" i="12" l="1"/>
  <c r="H383" i="11"/>
  <c r="O469" i="12"/>
  <c r="P469" i="12" s="1"/>
  <c r="O468" i="12"/>
  <c r="P468" i="12" s="1"/>
  <c r="O467" i="12"/>
  <c r="P467" i="12" s="1"/>
  <c r="O466" i="12"/>
  <c r="P466" i="12" s="1"/>
  <c r="O465" i="12"/>
  <c r="P465" i="12" s="1"/>
  <c r="O464" i="12"/>
  <c r="P464" i="12" s="1"/>
  <c r="O463" i="12"/>
  <c r="P463" i="12" s="1"/>
  <c r="O462" i="12"/>
  <c r="P462" i="12" s="1"/>
  <c r="O461" i="12"/>
  <c r="P461" i="12" s="1"/>
  <c r="O460" i="12"/>
  <c r="P460" i="12" s="1"/>
  <c r="O459" i="12"/>
  <c r="P459" i="12" s="1"/>
  <c r="O458" i="12"/>
  <c r="P458" i="12" s="1"/>
  <c r="O457" i="12"/>
  <c r="P457" i="12" s="1"/>
  <c r="O456" i="12"/>
  <c r="P456" i="12" s="1"/>
  <c r="O455" i="12"/>
  <c r="P455" i="12" s="1"/>
  <c r="O454" i="12"/>
  <c r="P454" i="12" s="1"/>
  <c r="O453" i="12"/>
  <c r="P453" i="12" s="1"/>
  <c r="O452" i="12"/>
  <c r="P452" i="12" s="1"/>
  <c r="O451" i="12"/>
  <c r="P451" i="12" s="1"/>
  <c r="O450" i="12"/>
  <c r="P450" i="12" s="1"/>
  <c r="O449" i="12"/>
  <c r="P449" i="12" s="1"/>
  <c r="O448" i="12"/>
  <c r="P448" i="12" s="1"/>
  <c r="O447" i="12"/>
  <c r="P447" i="12" s="1"/>
  <c r="O446" i="12"/>
  <c r="P446" i="12" s="1"/>
  <c r="O445" i="12"/>
  <c r="P445" i="12" s="1"/>
  <c r="O444" i="12"/>
  <c r="P444" i="12" s="1"/>
  <c r="O443" i="12"/>
  <c r="P443" i="12" s="1"/>
  <c r="O442" i="12"/>
  <c r="P442" i="12" s="1"/>
  <c r="O441" i="12"/>
  <c r="P441" i="12" s="1"/>
  <c r="O440" i="12"/>
  <c r="P440" i="12" s="1"/>
  <c r="O439" i="12"/>
  <c r="P439" i="12" s="1"/>
  <c r="O438" i="12"/>
  <c r="P438" i="12" s="1"/>
  <c r="L437" i="12"/>
  <c r="G435" i="12"/>
  <c r="L436" i="12"/>
  <c r="L435" i="12"/>
  <c r="O434" i="12"/>
  <c r="P434" i="12" s="1"/>
  <c r="O433" i="12"/>
  <c r="P433" i="12" s="1"/>
  <c r="I433" i="12"/>
  <c r="O432" i="12"/>
  <c r="P432" i="12" s="1"/>
  <c r="N432" i="12"/>
  <c r="I432" i="12"/>
  <c r="F432" i="12"/>
  <c r="L431" i="12"/>
  <c r="I431" i="12"/>
  <c r="F431" i="12"/>
  <c r="L430" i="12"/>
  <c r="H430" i="12"/>
  <c r="L429" i="12"/>
  <c r="H429" i="12"/>
  <c r="N429" i="12" s="1"/>
  <c r="K428" i="12"/>
  <c r="I428" i="12"/>
  <c r="G428" i="12"/>
  <c r="G427" i="12" s="1"/>
  <c r="F428" i="12"/>
  <c r="L428" i="12" s="1"/>
  <c r="K427" i="12"/>
  <c r="J427" i="12"/>
  <c r="I427" i="12"/>
  <c r="O426" i="12"/>
  <c r="P426" i="12" s="1"/>
  <c r="N425" i="12"/>
  <c r="M425" i="12"/>
  <c r="L425" i="12"/>
  <c r="O425" i="12" s="1"/>
  <c r="P425" i="12" s="1"/>
  <c r="K425" i="12"/>
  <c r="I425" i="12"/>
  <c r="H425" i="12"/>
  <c r="G425" i="12"/>
  <c r="F425" i="12"/>
  <c r="N424" i="12"/>
  <c r="M424" i="12"/>
  <c r="L424" i="12"/>
  <c r="O424" i="12" s="1"/>
  <c r="P424" i="12" s="1"/>
  <c r="N423" i="12"/>
  <c r="N422" i="12" s="1"/>
  <c r="N421" i="12" s="1"/>
  <c r="M423" i="12"/>
  <c r="L423" i="12"/>
  <c r="O423" i="12" s="1"/>
  <c r="P423" i="12" s="1"/>
  <c r="L422" i="12"/>
  <c r="O422" i="12" s="1"/>
  <c r="P422" i="12" s="1"/>
  <c r="I422" i="12"/>
  <c r="K422" i="12" s="1"/>
  <c r="K421" i="12" s="1"/>
  <c r="M421" i="12"/>
  <c r="H421" i="12"/>
  <c r="G421" i="12"/>
  <c r="F421" i="12"/>
  <c r="M418" i="12"/>
  <c r="L418" i="12"/>
  <c r="H418" i="12"/>
  <c r="H413" i="12" s="1"/>
  <c r="N417" i="12"/>
  <c r="M417" i="12"/>
  <c r="L417" i="12"/>
  <c r="M414" i="12"/>
  <c r="L414" i="12"/>
  <c r="L413" i="12" s="1"/>
  <c r="L412" i="12" s="1"/>
  <c r="H414" i="12"/>
  <c r="K413" i="12"/>
  <c r="I413" i="12"/>
  <c r="I412" i="12" s="1"/>
  <c r="G413" i="12"/>
  <c r="F413" i="12"/>
  <c r="K412" i="12"/>
  <c r="J412" i="12"/>
  <c r="J411" i="12" s="1"/>
  <c r="F412" i="12"/>
  <c r="N410" i="12"/>
  <c r="M410" i="12"/>
  <c r="M409" i="12" s="1"/>
  <c r="M406" i="12" s="1"/>
  <c r="M405" i="12" s="1"/>
  <c r="L410" i="12"/>
  <c r="L409" i="12" s="1"/>
  <c r="H410" i="12"/>
  <c r="N409" i="12"/>
  <c r="K409" i="12"/>
  <c r="I409" i="12"/>
  <c r="H409" i="12"/>
  <c r="G409" i="12"/>
  <c r="F409" i="12"/>
  <c r="N408" i="12"/>
  <c r="L408" i="12"/>
  <c r="O408" i="12" s="1"/>
  <c r="P408" i="12" s="1"/>
  <c r="H408" i="12"/>
  <c r="H407" i="12" s="1"/>
  <c r="H406" i="12" s="1"/>
  <c r="H405" i="12" s="1"/>
  <c r="F408" i="12"/>
  <c r="N407" i="12"/>
  <c r="N406" i="12" s="1"/>
  <c r="N405" i="12" s="1"/>
  <c r="M407" i="12"/>
  <c r="L407" i="12"/>
  <c r="O407" i="12" s="1"/>
  <c r="P407" i="12" s="1"/>
  <c r="K407" i="12"/>
  <c r="I407" i="12"/>
  <c r="I406" i="12" s="1"/>
  <c r="I405" i="12" s="1"/>
  <c r="G407" i="12"/>
  <c r="G406" i="12" s="1"/>
  <c r="G405" i="12" s="1"/>
  <c r="F407" i="12"/>
  <c r="K406" i="12"/>
  <c r="J406" i="12"/>
  <c r="J405" i="12" s="1"/>
  <c r="F406" i="12"/>
  <c r="F405" i="12" s="1"/>
  <c r="K405" i="12"/>
  <c r="N402" i="12"/>
  <c r="M402" i="12"/>
  <c r="L402" i="12"/>
  <c r="O402" i="12" s="1"/>
  <c r="P402" i="12" s="1"/>
  <c r="H402" i="12"/>
  <c r="N401" i="12"/>
  <c r="N400" i="12" s="1"/>
  <c r="M401" i="12"/>
  <c r="M400" i="12" s="1"/>
  <c r="M399" i="12" s="1"/>
  <c r="L401" i="12"/>
  <c r="L400" i="12" s="1"/>
  <c r="K401" i="12"/>
  <c r="I401" i="12"/>
  <c r="I400" i="12" s="1"/>
  <c r="I399" i="12" s="1"/>
  <c r="H401" i="12"/>
  <c r="H400" i="12" s="1"/>
  <c r="H399" i="12" s="1"/>
  <c r="G401" i="12"/>
  <c r="F401" i="12"/>
  <c r="F400" i="12" s="1"/>
  <c r="F399" i="12" s="1"/>
  <c r="N399" i="12"/>
  <c r="K400" i="12"/>
  <c r="K399" i="12" s="1"/>
  <c r="J400" i="12"/>
  <c r="J399" i="12" s="1"/>
  <c r="J398" i="12" s="1"/>
  <c r="M397" i="12"/>
  <c r="L397" i="12"/>
  <c r="H397" i="12"/>
  <c r="N397" i="12" s="1"/>
  <c r="M396" i="12"/>
  <c r="L396" i="12"/>
  <c r="H396" i="12"/>
  <c r="N396" i="12" s="1"/>
  <c r="M395" i="12"/>
  <c r="O395" i="12" s="1"/>
  <c r="L395" i="12"/>
  <c r="H395" i="12"/>
  <c r="N395" i="12" s="1"/>
  <c r="M394" i="12"/>
  <c r="L394" i="12"/>
  <c r="L393" i="12" s="1"/>
  <c r="H394" i="12"/>
  <c r="N394" i="12" s="1"/>
  <c r="N393" i="12" s="1"/>
  <c r="K393" i="12"/>
  <c r="I393" i="12"/>
  <c r="G393" i="12"/>
  <c r="F393" i="12"/>
  <c r="K392" i="12"/>
  <c r="K391" i="12" s="1"/>
  <c r="I392" i="12"/>
  <c r="I391" i="12" s="1"/>
  <c r="G392" i="12"/>
  <c r="M392" i="12" s="1"/>
  <c r="M391" i="12" s="1"/>
  <c r="F392" i="12"/>
  <c r="L392" i="12" s="1"/>
  <c r="J391" i="12"/>
  <c r="G391" i="12"/>
  <c r="N390" i="12"/>
  <c r="M390" i="12"/>
  <c r="M389" i="12" s="1"/>
  <c r="M388" i="12" s="1"/>
  <c r="M387" i="12" s="1"/>
  <c r="L390" i="12"/>
  <c r="O390" i="12" s="1"/>
  <c r="P390" i="12" s="1"/>
  <c r="H390" i="12"/>
  <c r="N389" i="12"/>
  <c r="N388" i="12" s="1"/>
  <c r="N387" i="12" s="1"/>
  <c r="L389" i="12"/>
  <c r="O389" i="12" s="1"/>
  <c r="K389" i="12"/>
  <c r="K388" i="12" s="1"/>
  <c r="K387" i="12" s="1"/>
  <c r="I389" i="12"/>
  <c r="I388" i="12" s="1"/>
  <c r="I387" i="12" s="1"/>
  <c r="H389" i="12"/>
  <c r="H388" i="12" s="1"/>
  <c r="H387" i="12" s="1"/>
  <c r="G389" i="12"/>
  <c r="G388" i="12" s="1"/>
  <c r="G387" i="12" s="1"/>
  <c r="F389" i="12"/>
  <c r="F388" i="12" s="1"/>
  <c r="F387" i="12" s="1"/>
  <c r="J387" i="12"/>
  <c r="O386" i="12"/>
  <c r="M386" i="12"/>
  <c r="L386" i="12"/>
  <c r="H386" i="12"/>
  <c r="N386" i="12" s="1"/>
  <c r="M385" i="12"/>
  <c r="O385" i="12" s="1"/>
  <c r="L385" i="12"/>
  <c r="H385" i="12"/>
  <c r="N385" i="12" s="1"/>
  <c r="G385" i="12"/>
  <c r="H384" i="12"/>
  <c r="N384" i="12" s="1"/>
  <c r="G384" i="12"/>
  <c r="M384" i="12" s="1"/>
  <c r="O384" i="12" s="1"/>
  <c r="P384" i="12" s="1"/>
  <c r="M383" i="12"/>
  <c r="O383" i="12" s="1"/>
  <c r="P383" i="12" s="1"/>
  <c r="M382" i="12"/>
  <c r="O382" i="12" s="1"/>
  <c r="L382" i="12"/>
  <c r="H382" i="12"/>
  <c r="N382" i="12" s="1"/>
  <c r="L381" i="12"/>
  <c r="K381" i="12"/>
  <c r="I381" i="12"/>
  <c r="H381" i="12"/>
  <c r="H380" i="12" s="1"/>
  <c r="G381" i="12"/>
  <c r="F381" i="12"/>
  <c r="F380" i="12" s="1"/>
  <c r="L380" i="12"/>
  <c r="K380" i="12"/>
  <c r="J380" i="12"/>
  <c r="I380" i="12"/>
  <c r="G380" i="12"/>
  <c r="M379" i="12"/>
  <c r="L379" i="12"/>
  <c r="N379" i="12" s="1"/>
  <c r="N378" i="12" s="1"/>
  <c r="N377" i="12" s="1"/>
  <c r="H379" i="12"/>
  <c r="M378" i="12"/>
  <c r="M377" i="12" s="1"/>
  <c r="L378" i="12"/>
  <c r="L377" i="12" s="1"/>
  <c r="K378" i="12"/>
  <c r="K377" i="12" s="1"/>
  <c r="I378" i="12"/>
  <c r="I377" i="12" s="1"/>
  <c r="H378" i="12"/>
  <c r="H377" i="12" s="1"/>
  <c r="G378" i="12"/>
  <c r="G377" i="12" s="1"/>
  <c r="F378" i="12"/>
  <c r="F377" i="12" s="1"/>
  <c r="M371" i="12"/>
  <c r="M370" i="12" s="1"/>
  <c r="M369" i="12" s="1"/>
  <c r="L371" i="12"/>
  <c r="H371" i="12"/>
  <c r="N371" i="12" s="1"/>
  <c r="N370" i="12" s="1"/>
  <c r="N369" i="12" s="1"/>
  <c r="K370" i="12"/>
  <c r="I370" i="12"/>
  <c r="G370" i="12"/>
  <c r="F370" i="12"/>
  <c r="F369" i="12" s="1"/>
  <c r="K369" i="12"/>
  <c r="I369" i="12"/>
  <c r="J368" i="12"/>
  <c r="M367" i="12"/>
  <c r="O367" i="12" s="1"/>
  <c r="H367" i="12"/>
  <c r="L366" i="12"/>
  <c r="K366" i="12"/>
  <c r="I366" i="12"/>
  <c r="H366" i="12"/>
  <c r="G366" i="12"/>
  <c r="F366" i="12"/>
  <c r="M365" i="12"/>
  <c r="L365" i="12"/>
  <c r="N365" i="12"/>
  <c r="N364" i="12" s="1"/>
  <c r="M364" i="12"/>
  <c r="L364" i="12"/>
  <c r="K364" i="12"/>
  <c r="I364" i="12"/>
  <c r="H364" i="12"/>
  <c r="G364" i="12"/>
  <c r="F364" i="12"/>
  <c r="F363" i="12" s="1"/>
  <c r="F362" i="12" s="1"/>
  <c r="K363" i="12"/>
  <c r="I363" i="12"/>
  <c r="I362" i="12" s="1"/>
  <c r="G363" i="12"/>
  <c r="G362" i="12" s="1"/>
  <c r="K362" i="12"/>
  <c r="J362" i="12"/>
  <c r="M361" i="12"/>
  <c r="L361" i="12"/>
  <c r="M360" i="12"/>
  <c r="L360" i="12"/>
  <c r="K359" i="12"/>
  <c r="I359" i="12"/>
  <c r="G359" i="12"/>
  <c r="F359" i="12"/>
  <c r="L359" i="12" s="1"/>
  <c r="O358" i="12"/>
  <c r="P358" i="12" s="1"/>
  <c r="N357" i="12"/>
  <c r="M357" i="12"/>
  <c r="L357" i="12"/>
  <c r="O357" i="12" s="1"/>
  <c r="P357" i="12" s="1"/>
  <c r="H357" i="12"/>
  <c r="N356" i="12"/>
  <c r="M356" i="12"/>
  <c r="L356" i="12"/>
  <c r="O356" i="12" s="1"/>
  <c r="P356" i="12" s="1"/>
  <c r="K356" i="12"/>
  <c r="I356" i="12"/>
  <c r="I355" i="12" s="1"/>
  <c r="I349" i="12" s="1"/>
  <c r="H356" i="12"/>
  <c r="G356" i="12"/>
  <c r="F356" i="12"/>
  <c r="K355" i="12"/>
  <c r="O354" i="12"/>
  <c r="P354" i="12" s="1"/>
  <c r="L353" i="12"/>
  <c r="L352" i="12"/>
  <c r="K351" i="12"/>
  <c r="K350" i="12" s="1"/>
  <c r="K349" i="12" s="1"/>
  <c r="I351" i="12"/>
  <c r="F351" i="12"/>
  <c r="F350" i="12" s="1"/>
  <c r="I350" i="12"/>
  <c r="J349" i="12"/>
  <c r="J348" i="12"/>
  <c r="N347" i="12"/>
  <c r="L347" i="12"/>
  <c r="O347" i="12" s="1"/>
  <c r="P347" i="12" s="1"/>
  <c r="K347" i="12"/>
  <c r="O346" i="12"/>
  <c r="N346" i="12"/>
  <c r="L346" i="12"/>
  <c r="K346" i="12"/>
  <c r="N345" i="12"/>
  <c r="M345" i="12"/>
  <c r="O345" i="12" s="1"/>
  <c r="P345" i="12" s="1"/>
  <c r="L345" i="12"/>
  <c r="L344" i="12"/>
  <c r="O344" i="12" s="1"/>
  <c r="K344" i="12"/>
  <c r="H344" i="12"/>
  <c r="N344" i="12" s="1"/>
  <c r="G343" i="12"/>
  <c r="G342" i="12" s="1"/>
  <c r="F343" i="12"/>
  <c r="M342" i="12"/>
  <c r="F342" i="12"/>
  <c r="M341" i="12"/>
  <c r="J341" i="12"/>
  <c r="N340" i="12"/>
  <c r="M340" i="12"/>
  <c r="L340" i="12"/>
  <c r="O340" i="12" s="1"/>
  <c r="P340" i="12" s="1"/>
  <c r="H340" i="12"/>
  <c r="N339" i="12"/>
  <c r="M339" i="12"/>
  <c r="O339" i="12" s="1"/>
  <c r="P339" i="12" s="1"/>
  <c r="H339" i="12"/>
  <c r="G339" i="12"/>
  <c r="L338" i="12"/>
  <c r="G338" i="12"/>
  <c r="M337" i="12"/>
  <c r="M336" i="12" s="1"/>
  <c r="L337" i="12"/>
  <c r="L336" i="12" s="1"/>
  <c r="K337" i="12"/>
  <c r="H337" i="12"/>
  <c r="H336" i="12" s="1"/>
  <c r="I336" i="12"/>
  <c r="G336" i="12"/>
  <c r="F336" i="12"/>
  <c r="M335" i="12"/>
  <c r="L335" i="12"/>
  <c r="H335" i="12"/>
  <c r="N335" i="12" s="1"/>
  <c r="M334" i="12"/>
  <c r="L334" i="12"/>
  <c r="H334" i="12"/>
  <c r="N334" i="12" s="1"/>
  <c r="K333" i="12"/>
  <c r="I333" i="12"/>
  <c r="G333" i="12"/>
  <c r="F333" i="12"/>
  <c r="F332" i="12" s="1"/>
  <c r="F331" i="12" s="1"/>
  <c r="J332" i="12"/>
  <c r="J331" i="12" s="1"/>
  <c r="J330" i="12"/>
  <c r="N329" i="12"/>
  <c r="M329" i="12"/>
  <c r="L329" i="12"/>
  <c r="N328" i="12"/>
  <c r="L328" i="12"/>
  <c r="K328" i="12"/>
  <c r="J328" i="12"/>
  <c r="M328" i="12" s="1"/>
  <c r="I328" i="12"/>
  <c r="O327" i="12"/>
  <c r="P327" i="12" s="1"/>
  <c r="M326" i="12"/>
  <c r="L326" i="12"/>
  <c r="O326" i="12" s="1"/>
  <c r="H326" i="12"/>
  <c r="H325" i="12" s="1"/>
  <c r="M325" i="12"/>
  <c r="M324" i="12" s="1"/>
  <c r="K325" i="12"/>
  <c r="I325" i="12"/>
  <c r="G325" i="12"/>
  <c r="F325" i="12"/>
  <c r="K324" i="12"/>
  <c r="I324" i="12"/>
  <c r="I323" i="12" s="1"/>
  <c r="G324" i="12"/>
  <c r="G323" i="12" s="1"/>
  <c r="F324" i="12"/>
  <c r="F323" i="12" s="1"/>
  <c r="K323" i="12"/>
  <c r="J323" i="12"/>
  <c r="O322" i="12"/>
  <c r="P322" i="12" s="1"/>
  <c r="O321" i="12"/>
  <c r="P321" i="12" s="1"/>
  <c r="N320" i="12"/>
  <c r="N319" i="12" s="1"/>
  <c r="N318" i="12" s="1"/>
  <c r="M320" i="12"/>
  <c r="M319" i="12" s="1"/>
  <c r="M318" i="12" s="1"/>
  <c r="L320" i="12"/>
  <c r="L319" i="12" s="1"/>
  <c r="L318" i="12" s="1"/>
  <c r="K320" i="12"/>
  <c r="K319" i="12" s="1"/>
  <c r="K318" i="12" s="1"/>
  <c r="I320" i="12"/>
  <c r="I319" i="12" s="1"/>
  <c r="I318" i="12" s="1"/>
  <c r="H320" i="12"/>
  <c r="H319" i="12" s="1"/>
  <c r="H318" i="12" s="1"/>
  <c r="G320" i="12"/>
  <c r="G319" i="12" s="1"/>
  <c r="G318" i="12" s="1"/>
  <c r="F320" i="12"/>
  <c r="F319" i="12" s="1"/>
  <c r="F318" i="12" s="1"/>
  <c r="J318" i="12"/>
  <c r="N317" i="12"/>
  <c r="M317" i="12"/>
  <c r="L317" i="12"/>
  <c r="K317" i="12"/>
  <c r="N316" i="12"/>
  <c r="L316" i="12"/>
  <c r="K316" i="12"/>
  <c r="J316" i="12"/>
  <c r="M316" i="12" s="1"/>
  <c r="O315" i="12"/>
  <c r="P315" i="12" s="1"/>
  <c r="O314" i="12"/>
  <c r="P314" i="12" s="1"/>
  <c r="O313" i="12"/>
  <c r="P313" i="12" s="1"/>
  <c r="N313" i="12"/>
  <c r="M313" i="12"/>
  <c r="L313" i="12"/>
  <c r="K313" i="12"/>
  <c r="I313" i="12"/>
  <c r="H313" i="12"/>
  <c r="G313" i="12"/>
  <c r="F313" i="12"/>
  <c r="O312" i="12"/>
  <c r="M312" i="12"/>
  <c r="M310" i="12" s="1"/>
  <c r="L312" i="12"/>
  <c r="N312" i="12" s="1"/>
  <c r="N310" i="12" s="1"/>
  <c r="H312" i="12"/>
  <c r="H310" i="12" s="1"/>
  <c r="O311" i="12"/>
  <c r="L311" i="12"/>
  <c r="H311" i="12"/>
  <c r="N311" i="12" s="1"/>
  <c r="L310" i="12"/>
  <c r="O310" i="12" s="1"/>
  <c r="K310" i="12"/>
  <c r="I310" i="12"/>
  <c r="I309" i="12" s="1"/>
  <c r="G310" i="12"/>
  <c r="G309" i="12" s="1"/>
  <c r="G308" i="12" s="1"/>
  <c r="F310" i="12"/>
  <c r="L309" i="12"/>
  <c r="K309" i="12"/>
  <c r="J309" i="12"/>
  <c r="J308" i="12" s="1"/>
  <c r="J307" i="12" s="1"/>
  <c r="H309" i="12"/>
  <c r="H308" i="12" s="1"/>
  <c r="F309" i="12"/>
  <c r="F308" i="12" s="1"/>
  <c r="K308" i="12"/>
  <c r="I308" i="12"/>
  <c r="O306" i="12"/>
  <c r="M306" i="12"/>
  <c r="H306" i="12"/>
  <c r="N306" i="12" s="1"/>
  <c r="N305" i="12"/>
  <c r="M305" i="12"/>
  <c r="O305" i="12" s="1"/>
  <c r="H305" i="12"/>
  <c r="O304" i="12"/>
  <c r="P304" i="12" s="1"/>
  <c r="M304" i="12"/>
  <c r="H304" i="12"/>
  <c r="O303" i="12"/>
  <c r="P303" i="12" s="1"/>
  <c r="M303" i="12"/>
  <c r="H303" i="12"/>
  <c r="N303" i="12" s="1"/>
  <c r="O302" i="12"/>
  <c r="P302" i="12" s="1"/>
  <c r="N301" i="12"/>
  <c r="N300" i="12" s="1"/>
  <c r="M301" i="12"/>
  <c r="M300" i="12" s="1"/>
  <c r="L301" i="12"/>
  <c r="K301" i="12"/>
  <c r="K300" i="12" s="1"/>
  <c r="I301" i="12"/>
  <c r="I300" i="12" s="1"/>
  <c r="H301" i="12"/>
  <c r="H300" i="12" s="1"/>
  <c r="G301" i="12"/>
  <c r="G300" i="12" s="1"/>
  <c r="F301" i="12"/>
  <c r="F300" i="12" s="1"/>
  <c r="H298" i="12"/>
  <c r="H297" i="12" s="1"/>
  <c r="M299" i="12"/>
  <c r="N298" i="12" s="1"/>
  <c r="N297" i="12" s="1"/>
  <c r="L298" i="12"/>
  <c r="L297" i="12" s="1"/>
  <c r="K298" i="12"/>
  <c r="K297" i="12" s="1"/>
  <c r="I298" i="12"/>
  <c r="I297" i="12" s="1"/>
  <c r="G298" i="12"/>
  <c r="G297" i="12" s="1"/>
  <c r="F298" i="12"/>
  <c r="F297" i="12"/>
  <c r="F296" i="12" s="1"/>
  <c r="J296" i="12"/>
  <c r="O295" i="12"/>
  <c r="P295" i="12" s="1"/>
  <c r="N294" i="12"/>
  <c r="M294" i="12"/>
  <c r="M293" i="12" s="1"/>
  <c r="M292" i="12" s="1"/>
  <c r="L294" i="12"/>
  <c r="L293" i="12" s="1"/>
  <c r="K294" i="12"/>
  <c r="K293" i="12" s="1"/>
  <c r="K292" i="12" s="1"/>
  <c r="I294" i="12"/>
  <c r="I293" i="12" s="1"/>
  <c r="I292" i="12" s="1"/>
  <c r="H294" i="12"/>
  <c r="H293" i="12" s="1"/>
  <c r="H292" i="12" s="1"/>
  <c r="G294" i="12"/>
  <c r="G293" i="12" s="1"/>
  <c r="G292" i="12" s="1"/>
  <c r="F294" i="12"/>
  <c r="F293" i="12" s="1"/>
  <c r="F292" i="12" s="1"/>
  <c r="N293" i="12"/>
  <c r="N292" i="12" s="1"/>
  <c r="J292" i="12"/>
  <c r="M291" i="12"/>
  <c r="M290" i="12" s="1"/>
  <c r="L291" i="12"/>
  <c r="O291" i="12" s="1"/>
  <c r="N291" i="12"/>
  <c r="N290" i="12" s="1"/>
  <c r="K290" i="12"/>
  <c r="I290" i="12"/>
  <c r="G290" i="12"/>
  <c r="F290" i="12"/>
  <c r="L289" i="12"/>
  <c r="L288" i="12" s="1"/>
  <c r="M289" i="12"/>
  <c r="M288" i="12" s="1"/>
  <c r="K288" i="12"/>
  <c r="K287" i="12" s="1"/>
  <c r="I288" i="12"/>
  <c r="I287" i="12" s="1"/>
  <c r="I286" i="12" s="1"/>
  <c r="F288" i="12"/>
  <c r="F287" i="12" s="1"/>
  <c r="F286" i="12" s="1"/>
  <c r="K286" i="12"/>
  <c r="M285" i="12"/>
  <c r="M284" i="12" s="1"/>
  <c r="M283" i="12" s="1"/>
  <c r="M282" i="12" s="1"/>
  <c r="L285" i="12"/>
  <c r="H285" i="12"/>
  <c r="K284" i="12"/>
  <c r="K283" i="12" s="1"/>
  <c r="K282" i="12" s="1"/>
  <c r="I284" i="12"/>
  <c r="I283" i="12" s="1"/>
  <c r="I282" i="12" s="1"/>
  <c r="G284" i="12"/>
  <c r="G283" i="12" s="1"/>
  <c r="G282" i="12" s="1"/>
  <c r="F284" i="12"/>
  <c r="F283" i="12" s="1"/>
  <c r="F282" i="12" s="1"/>
  <c r="N281" i="12"/>
  <c r="M281" i="12"/>
  <c r="O281" i="12" s="1"/>
  <c r="H281" i="12"/>
  <c r="N280" i="12"/>
  <c r="M280" i="12"/>
  <c r="O280" i="12" s="1"/>
  <c r="H280" i="12"/>
  <c r="N279" i="12"/>
  <c r="M279" i="12"/>
  <c r="O279" i="12" s="1"/>
  <c r="H279" i="12"/>
  <c r="M278" i="12"/>
  <c r="O278" i="12" s="1"/>
  <c r="P278" i="12" s="1"/>
  <c r="H278" i="12"/>
  <c r="N278" i="12" s="1"/>
  <c r="N276" i="12"/>
  <c r="N275" i="12" s="1"/>
  <c r="M277" i="12"/>
  <c r="M276" i="12"/>
  <c r="M275" i="12" s="1"/>
  <c r="K276" i="12"/>
  <c r="K275" i="12" s="1"/>
  <c r="I276" i="12"/>
  <c r="H276" i="12"/>
  <c r="H275" i="12" s="1"/>
  <c r="G276" i="12"/>
  <c r="G275" i="12" s="1"/>
  <c r="F276" i="12"/>
  <c r="F275" i="12" s="1"/>
  <c r="I275" i="12"/>
  <c r="M274" i="12"/>
  <c r="N273" i="12" s="1"/>
  <c r="N272" i="12" s="1"/>
  <c r="H273" i="12"/>
  <c r="H272" i="12" s="1"/>
  <c r="L273" i="12"/>
  <c r="L272" i="12" s="1"/>
  <c r="K273" i="12"/>
  <c r="K272" i="12" s="1"/>
  <c r="I273" i="12"/>
  <c r="I272" i="12" s="1"/>
  <c r="G273" i="12"/>
  <c r="G272" i="12" s="1"/>
  <c r="G260" i="12" s="1"/>
  <c r="F273" i="12"/>
  <c r="F272" i="12" s="1"/>
  <c r="O271" i="12"/>
  <c r="P271" i="12" s="1"/>
  <c r="N270" i="12"/>
  <c r="M270" i="12"/>
  <c r="O270" i="12" s="1"/>
  <c r="P270" i="12" s="1"/>
  <c r="L270" i="12"/>
  <c r="K270" i="12"/>
  <c r="I270" i="12"/>
  <c r="H270" i="12"/>
  <c r="G270" i="12"/>
  <c r="F270" i="12"/>
  <c r="M269" i="12"/>
  <c r="L269" i="12"/>
  <c r="H269" i="12"/>
  <c r="N269" i="12" s="1"/>
  <c r="M268" i="12"/>
  <c r="L268" i="12"/>
  <c r="H268" i="12"/>
  <c r="N268" i="12" s="1"/>
  <c r="G268" i="12"/>
  <c r="M267" i="12"/>
  <c r="M266" i="12" s="1"/>
  <c r="L267" i="12"/>
  <c r="L266" i="12" s="1"/>
  <c r="H267" i="12"/>
  <c r="N267" i="12" s="1"/>
  <c r="K266" i="12"/>
  <c r="I266" i="12"/>
  <c r="G266" i="12"/>
  <c r="G261" i="12" s="1"/>
  <c r="F266" i="12"/>
  <c r="O265" i="12"/>
  <c r="P265" i="12" s="1"/>
  <c r="N264" i="12"/>
  <c r="M264" i="12"/>
  <c r="L264" i="12"/>
  <c r="M263" i="12"/>
  <c r="L263" i="12"/>
  <c r="H263" i="12"/>
  <c r="N263" i="12" s="1"/>
  <c r="M262" i="12"/>
  <c r="K262" i="12"/>
  <c r="I262" i="12"/>
  <c r="I261" i="12" s="1"/>
  <c r="G262" i="12"/>
  <c r="F262" i="12"/>
  <c r="K261" i="12"/>
  <c r="F261" i="12"/>
  <c r="J260" i="12"/>
  <c r="J259" i="12" s="1"/>
  <c r="N258" i="12"/>
  <c r="N257" i="12" s="1"/>
  <c r="N256" i="12" s="1"/>
  <c r="N255" i="12" s="1"/>
  <c r="M258" i="12"/>
  <c r="M257" i="12" s="1"/>
  <c r="M256" i="12" s="1"/>
  <c r="M255" i="12" s="1"/>
  <c r="L258" i="12"/>
  <c r="O258" i="12" s="1"/>
  <c r="P258" i="12" s="1"/>
  <c r="H258" i="12"/>
  <c r="K257" i="12"/>
  <c r="K256" i="12" s="1"/>
  <c r="K255" i="12" s="1"/>
  <c r="I257" i="12"/>
  <c r="I256" i="12" s="1"/>
  <c r="I255" i="12" s="1"/>
  <c r="H257" i="12"/>
  <c r="H256" i="12" s="1"/>
  <c r="H255" i="12" s="1"/>
  <c r="G257" i="12"/>
  <c r="G256" i="12" s="1"/>
  <c r="G255" i="12" s="1"/>
  <c r="F257" i="12"/>
  <c r="F256" i="12" s="1"/>
  <c r="F255" i="12" s="1"/>
  <c r="J255" i="12"/>
  <c r="O254" i="12"/>
  <c r="P254" i="12" s="1"/>
  <c r="N253" i="12"/>
  <c r="M253" i="12"/>
  <c r="M252" i="12" s="1"/>
  <c r="M251" i="12" s="1"/>
  <c r="L253" i="12"/>
  <c r="L252" i="12" s="1"/>
  <c r="K253" i="12"/>
  <c r="K252" i="12" s="1"/>
  <c r="K251" i="12" s="1"/>
  <c r="I253" i="12"/>
  <c r="I252" i="12" s="1"/>
  <c r="I251" i="12" s="1"/>
  <c r="H253" i="12"/>
  <c r="H252" i="12" s="1"/>
  <c r="H251" i="12" s="1"/>
  <c r="G253" i="12"/>
  <c r="G252" i="12" s="1"/>
  <c r="G251" i="12" s="1"/>
  <c r="F253" i="12"/>
  <c r="F252" i="12" s="1"/>
  <c r="F251" i="12" s="1"/>
  <c r="N252" i="12"/>
  <c r="N251" i="12" s="1"/>
  <c r="J251" i="12"/>
  <c r="J250" i="12"/>
  <c r="O249" i="12"/>
  <c r="N249" i="12"/>
  <c r="N248" i="12" s="1"/>
  <c r="M249" i="12"/>
  <c r="L249" i="12"/>
  <c r="H249" i="12"/>
  <c r="M248" i="12"/>
  <c r="L248" i="12"/>
  <c r="O248" i="12" s="1"/>
  <c r="P248" i="12" s="1"/>
  <c r="H248" i="12"/>
  <c r="G248" i="12"/>
  <c r="M247" i="12"/>
  <c r="L247" i="12"/>
  <c r="L246" i="12" s="1"/>
  <c r="L245" i="12" s="1"/>
  <c r="L244" i="12" s="1"/>
  <c r="K247" i="12"/>
  <c r="H247" i="12"/>
  <c r="N247" i="12" s="1"/>
  <c r="N246" i="12" s="1"/>
  <c r="N245" i="12" s="1"/>
  <c r="N244" i="12" s="1"/>
  <c r="M246" i="12"/>
  <c r="K246" i="12"/>
  <c r="K245" i="12" s="1"/>
  <c r="K244" i="12" s="1"/>
  <c r="I246" i="12"/>
  <c r="I245" i="12" s="1"/>
  <c r="I244" i="12" s="1"/>
  <c r="H246" i="12"/>
  <c r="H245" i="12" s="1"/>
  <c r="H244" i="12" s="1"/>
  <c r="G246" i="12"/>
  <c r="G245" i="12" s="1"/>
  <c r="G244" i="12" s="1"/>
  <c r="F246" i="12"/>
  <c r="F245" i="12" s="1"/>
  <c r="F244" i="12" s="1"/>
  <c r="J244" i="12"/>
  <c r="N243" i="12"/>
  <c r="M243" i="12"/>
  <c r="M242" i="12" s="1"/>
  <c r="M241" i="12" s="1"/>
  <c r="M240" i="12" s="1"/>
  <c r="L243" i="12"/>
  <c r="O243" i="12" s="1"/>
  <c r="P243" i="12" s="1"/>
  <c r="H243" i="12"/>
  <c r="N242" i="12"/>
  <c r="N241" i="12" s="1"/>
  <c r="N240" i="12" s="1"/>
  <c r="K242" i="12"/>
  <c r="K241" i="12" s="1"/>
  <c r="I242" i="12"/>
  <c r="H242" i="12"/>
  <c r="G242" i="12"/>
  <c r="F242" i="12"/>
  <c r="F241" i="12" s="1"/>
  <c r="F240" i="12" s="1"/>
  <c r="I241" i="12"/>
  <c r="I240" i="12" s="1"/>
  <c r="H241" i="12"/>
  <c r="H240" i="12" s="1"/>
  <c r="G241" i="12"/>
  <c r="G240" i="12" s="1"/>
  <c r="K240" i="12"/>
  <c r="J240" i="12"/>
  <c r="O239" i="12"/>
  <c r="N239" i="12"/>
  <c r="M239" i="12"/>
  <c r="H239" i="12"/>
  <c r="N238" i="12"/>
  <c r="G238" i="12"/>
  <c r="M238" i="12" s="1"/>
  <c r="O238" i="12" s="1"/>
  <c r="P238" i="12" s="1"/>
  <c r="O237" i="12"/>
  <c r="P237" i="12" s="1"/>
  <c r="O236" i="12"/>
  <c r="P236" i="12" s="1"/>
  <c r="O235" i="12"/>
  <c r="P235" i="12" s="1"/>
  <c r="M234" i="12"/>
  <c r="M233" i="12" s="1"/>
  <c r="L234" i="12"/>
  <c r="H234" i="12"/>
  <c r="H233" i="12" s="1"/>
  <c r="H232" i="12" s="1"/>
  <c r="H231" i="12" s="1"/>
  <c r="L233" i="12"/>
  <c r="L232" i="12" s="1"/>
  <c r="O232" i="12" s="1"/>
  <c r="K233" i="12"/>
  <c r="I233" i="12"/>
  <c r="G233" i="12"/>
  <c r="G232" i="12" s="1"/>
  <c r="G231" i="12" s="1"/>
  <c r="F233" i="12"/>
  <c r="M232" i="12"/>
  <c r="M231" i="12" s="1"/>
  <c r="K232" i="12"/>
  <c r="K231" i="12" s="1"/>
  <c r="I232" i="12"/>
  <c r="I231" i="12" s="1"/>
  <c r="F232" i="12"/>
  <c r="F231" i="12" s="1"/>
  <c r="J231" i="12"/>
  <c r="J215" i="12" s="1"/>
  <c r="O230" i="12"/>
  <c r="P230" i="12" s="1"/>
  <c r="O229" i="12"/>
  <c r="P229" i="12" s="1"/>
  <c r="N228" i="12"/>
  <c r="N227" i="12" s="1"/>
  <c r="N226" i="12" s="1"/>
  <c r="M228" i="12"/>
  <c r="L228" i="12"/>
  <c r="O228" i="12" s="1"/>
  <c r="P228" i="12" s="1"/>
  <c r="K228" i="12"/>
  <c r="K227" i="12" s="1"/>
  <c r="K226" i="12" s="1"/>
  <c r="I228" i="12"/>
  <c r="H228" i="12"/>
  <c r="G228" i="12"/>
  <c r="F228" i="12"/>
  <c r="F227" i="12" s="1"/>
  <c r="F226" i="12" s="1"/>
  <c r="M227" i="12"/>
  <c r="M226" i="12" s="1"/>
  <c r="I227" i="12"/>
  <c r="I226" i="12" s="1"/>
  <c r="H227" i="12"/>
  <c r="H226" i="12" s="1"/>
  <c r="G227" i="12"/>
  <c r="G226" i="12" s="1"/>
  <c r="M225" i="12"/>
  <c r="L225" i="12"/>
  <c r="O225" i="12" s="1"/>
  <c r="K225" i="12"/>
  <c r="H225" i="12"/>
  <c r="N225" i="12" s="1"/>
  <c r="L224" i="12"/>
  <c r="O224" i="12" s="1"/>
  <c r="K224" i="12"/>
  <c r="G224" i="12"/>
  <c r="M224" i="12" s="1"/>
  <c r="F224" i="12"/>
  <c r="M223" i="12"/>
  <c r="L223" i="12"/>
  <c r="K223" i="12"/>
  <c r="H223" i="12"/>
  <c r="M222" i="12"/>
  <c r="K222" i="12"/>
  <c r="K221" i="12" s="1"/>
  <c r="K220" i="12" s="1"/>
  <c r="J222" i="12"/>
  <c r="H222" i="12"/>
  <c r="G222" i="12"/>
  <c r="F222" i="12"/>
  <c r="L222" i="12" s="1"/>
  <c r="I221" i="12"/>
  <c r="J220" i="12"/>
  <c r="I220" i="12"/>
  <c r="O219" i="12"/>
  <c r="P219" i="12" s="1"/>
  <c r="N219" i="12"/>
  <c r="M219" i="12"/>
  <c r="K219" i="12"/>
  <c r="H219" i="12"/>
  <c r="N218" i="12"/>
  <c r="M218" i="12"/>
  <c r="O218" i="12" s="1"/>
  <c r="P218" i="12" s="1"/>
  <c r="K218" i="12"/>
  <c r="J218" i="12"/>
  <c r="H218" i="12"/>
  <c r="K217" i="12"/>
  <c r="J217" i="12"/>
  <c r="M217" i="12" s="1"/>
  <c r="H217" i="12"/>
  <c r="H216" i="12"/>
  <c r="L214" i="12"/>
  <c r="M214" i="12"/>
  <c r="L213" i="12"/>
  <c r="L212" i="12"/>
  <c r="F212" i="12"/>
  <c r="N209" i="12"/>
  <c r="M209" i="12"/>
  <c r="L209" i="12"/>
  <c r="H209" i="12"/>
  <c r="M208" i="12"/>
  <c r="G208" i="12"/>
  <c r="H208" i="12" s="1"/>
  <c r="F208" i="12"/>
  <c r="L208" i="12" s="1"/>
  <c r="N206" i="12"/>
  <c r="M206" i="12"/>
  <c r="L206" i="12"/>
  <c r="H206" i="12"/>
  <c r="L205" i="12"/>
  <c r="H205" i="12"/>
  <c r="N205" i="12" s="1"/>
  <c r="G205" i="12"/>
  <c r="M205" i="12" s="1"/>
  <c r="M204" i="12"/>
  <c r="L204" i="12"/>
  <c r="N204" i="12" s="1"/>
  <c r="H204" i="12"/>
  <c r="M203" i="12"/>
  <c r="O203" i="12" s="1"/>
  <c r="P203" i="12" s="1"/>
  <c r="L203" i="12"/>
  <c r="N203" i="12" s="1"/>
  <c r="H203" i="12"/>
  <c r="M202" i="12"/>
  <c r="H202" i="12"/>
  <c r="N202" i="12" s="1"/>
  <c r="N201" i="12" s="1"/>
  <c r="M201" i="12"/>
  <c r="K201" i="12"/>
  <c r="K200" i="12" s="1"/>
  <c r="I201" i="12"/>
  <c r="I200" i="12" s="1"/>
  <c r="G201" i="12"/>
  <c r="G200" i="12" s="1"/>
  <c r="F201" i="12"/>
  <c r="L202" i="12" s="1"/>
  <c r="O202" i="12" s="1"/>
  <c r="M199" i="12"/>
  <c r="O199" i="12" s="1"/>
  <c r="P199" i="12" s="1"/>
  <c r="L199" i="12"/>
  <c r="N199" i="12" s="1"/>
  <c r="N198" i="12" s="1"/>
  <c r="N197" i="12" s="1"/>
  <c r="H199" i="12"/>
  <c r="K198" i="12"/>
  <c r="K197" i="12" s="1"/>
  <c r="I198" i="12"/>
  <c r="I197" i="12" s="1"/>
  <c r="H198" i="12"/>
  <c r="H197" i="12" s="1"/>
  <c r="G198" i="12"/>
  <c r="G197" i="12" s="1"/>
  <c r="F198" i="12"/>
  <c r="F197" i="12" s="1"/>
  <c r="M195" i="12"/>
  <c r="M194" i="12" s="1"/>
  <c r="L195" i="12"/>
  <c r="H195" i="12"/>
  <c r="N195" i="12" s="1"/>
  <c r="N194" i="12" s="1"/>
  <c r="L194" i="12"/>
  <c r="O194" i="12" s="1"/>
  <c r="K194" i="12"/>
  <c r="I194" i="12"/>
  <c r="H194" i="12"/>
  <c r="G194" i="12"/>
  <c r="F194" i="12"/>
  <c r="M193" i="12"/>
  <c r="M192" i="12" s="1"/>
  <c r="L193" i="12"/>
  <c r="H193" i="12"/>
  <c r="N193" i="12" s="1"/>
  <c r="L192" i="12"/>
  <c r="K192" i="12"/>
  <c r="K191" i="12" s="1"/>
  <c r="K190" i="12" s="1"/>
  <c r="I192" i="12"/>
  <c r="G192" i="12"/>
  <c r="G191" i="12" s="1"/>
  <c r="G190" i="12" s="1"/>
  <c r="F192" i="12"/>
  <c r="F191" i="12" s="1"/>
  <c r="I191" i="12"/>
  <c r="I190" i="12" s="1"/>
  <c r="J190" i="12"/>
  <c r="F190" i="12"/>
  <c r="O189" i="12"/>
  <c r="P189" i="12" s="1"/>
  <c r="O188" i="12"/>
  <c r="P188" i="12" s="1"/>
  <c r="O187" i="12"/>
  <c r="P187" i="12" s="1"/>
  <c r="O186" i="12"/>
  <c r="P186" i="12" s="1"/>
  <c r="M185" i="12"/>
  <c r="O185" i="12" s="1"/>
  <c r="L185" i="12"/>
  <c r="K185" i="12"/>
  <c r="H185" i="12"/>
  <c r="L184" i="12"/>
  <c r="O184" i="12" s="1"/>
  <c r="P184" i="12" s="1"/>
  <c r="J184" i="12"/>
  <c r="M184" i="12" s="1"/>
  <c r="I184" i="12"/>
  <c r="K184" i="12" s="1"/>
  <c r="H184" i="12"/>
  <c r="N184" i="12" s="1"/>
  <c r="G184" i="12"/>
  <c r="F184" i="12"/>
  <c r="N183" i="12"/>
  <c r="M183" i="12"/>
  <c r="O183" i="12" s="1"/>
  <c r="P183" i="12" s="1"/>
  <c r="L183" i="12"/>
  <c r="H183" i="12"/>
  <c r="N182" i="12"/>
  <c r="L182" i="12"/>
  <c r="H182" i="12"/>
  <c r="M182" i="12" s="1"/>
  <c r="O182" i="12" s="1"/>
  <c r="P182" i="12" s="1"/>
  <c r="O181" i="12"/>
  <c r="M181" i="12"/>
  <c r="L181" i="12"/>
  <c r="K181" i="12"/>
  <c r="K180" i="12" s="1"/>
  <c r="H181" i="12"/>
  <c r="N181" i="12" s="1"/>
  <c r="L180" i="12"/>
  <c r="J180" i="12"/>
  <c r="M180" i="12" s="1"/>
  <c r="I180" i="12"/>
  <c r="H180" i="12"/>
  <c r="N180" i="12" s="1"/>
  <c r="N179" i="12"/>
  <c r="M179" i="12"/>
  <c r="O179" i="12" s="1"/>
  <c r="N178" i="12"/>
  <c r="M178" i="12"/>
  <c r="O178" i="12" s="1"/>
  <c r="M177" i="12"/>
  <c r="O177" i="12" s="1"/>
  <c r="K177" i="12"/>
  <c r="N177" i="12" s="1"/>
  <c r="N176" i="12"/>
  <c r="M176" i="12"/>
  <c r="O176" i="12" s="1"/>
  <c r="M175" i="12"/>
  <c r="M174" i="12" s="1"/>
  <c r="L175" i="12"/>
  <c r="H175" i="12"/>
  <c r="N175" i="12" s="1"/>
  <c r="N174" i="12" s="1"/>
  <c r="L174" i="12"/>
  <c r="K174" i="12"/>
  <c r="I174" i="12"/>
  <c r="G174" i="12"/>
  <c r="F174" i="12"/>
  <c r="L173" i="12"/>
  <c r="K172" i="12"/>
  <c r="I172" i="12"/>
  <c r="F172" i="12"/>
  <c r="O171" i="12"/>
  <c r="M171" i="12"/>
  <c r="M170" i="12" s="1"/>
  <c r="L171" i="12"/>
  <c r="K171" i="12"/>
  <c r="K170" i="12" s="1"/>
  <c r="H171" i="12"/>
  <c r="N171" i="12" s="1"/>
  <c r="N170" i="12" s="1"/>
  <c r="L170" i="12"/>
  <c r="J170" i="12"/>
  <c r="I170" i="12"/>
  <c r="N169" i="12"/>
  <c r="M169" i="12"/>
  <c r="L169" i="12"/>
  <c r="H169" i="12"/>
  <c r="L168" i="12"/>
  <c r="G168" i="12"/>
  <c r="M167" i="12"/>
  <c r="L167" i="12"/>
  <c r="L166" i="12" s="1"/>
  <c r="H167" i="12"/>
  <c r="N167" i="12" s="1"/>
  <c r="N166" i="12" s="1"/>
  <c r="K166" i="12"/>
  <c r="I166" i="12"/>
  <c r="G166" i="12"/>
  <c r="F166" i="12"/>
  <c r="M165" i="12"/>
  <c r="M164" i="12" s="1"/>
  <c r="L165" i="12"/>
  <c r="L164" i="12" s="1"/>
  <c r="H165" i="12"/>
  <c r="K164" i="12"/>
  <c r="I164" i="12"/>
  <c r="H164" i="12"/>
  <c r="G164" i="12"/>
  <c r="F164" i="12"/>
  <c r="M163" i="12"/>
  <c r="M162" i="12" s="1"/>
  <c r="L163" i="12"/>
  <c r="K163" i="12"/>
  <c r="K162" i="12" s="1"/>
  <c r="K159" i="12" s="1"/>
  <c r="K158" i="12" s="1"/>
  <c r="H163" i="12"/>
  <c r="L162" i="12"/>
  <c r="O162" i="12" s="1"/>
  <c r="J162" i="12"/>
  <c r="I162" i="12"/>
  <c r="H162" i="12"/>
  <c r="G162" i="12"/>
  <c r="F162" i="12"/>
  <c r="M161" i="12"/>
  <c r="M160" i="12" s="1"/>
  <c r="L161" i="12"/>
  <c r="H161" i="12"/>
  <c r="K160" i="12"/>
  <c r="I160" i="12"/>
  <c r="G160" i="12"/>
  <c r="F160" i="12"/>
  <c r="I159" i="12"/>
  <c r="I158" i="12"/>
  <c r="M157" i="12"/>
  <c r="L157" i="12"/>
  <c r="K157" i="12"/>
  <c r="H157" i="12"/>
  <c r="N157" i="12" s="1"/>
  <c r="N156" i="12" s="1"/>
  <c r="M156" i="12"/>
  <c r="K156" i="12"/>
  <c r="I156" i="12"/>
  <c r="H156" i="12"/>
  <c r="G156" i="12"/>
  <c r="F156" i="12"/>
  <c r="M155" i="12"/>
  <c r="M154" i="12" s="1"/>
  <c r="O154" i="12" s="1"/>
  <c r="P154" i="12" s="1"/>
  <c r="L155" i="12"/>
  <c r="K155" i="12"/>
  <c r="I155" i="12"/>
  <c r="H155" i="12"/>
  <c r="N155" i="12" s="1"/>
  <c r="N154" i="12" s="1"/>
  <c r="L154" i="12"/>
  <c r="K154" i="12"/>
  <c r="I154" i="12"/>
  <c r="G154" i="12"/>
  <c r="F154" i="12"/>
  <c r="M153" i="12"/>
  <c r="M152" i="12" s="1"/>
  <c r="L152" i="12"/>
  <c r="L148" i="12" s="1"/>
  <c r="K152" i="12"/>
  <c r="K148" i="12" s="1"/>
  <c r="K147" i="12" s="1"/>
  <c r="J152" i="12"/>
  <c r="J148" i="12" s="1"/>
  <c r="J147" i="12" s="1"/>
  <c r="I152" i="12"/>
  <c r="H152" i="12"/>
  <c r="G152" i="12"/>
  <c r="G148" i="12" s="1"/>
  <c r="F152" i="12"/>
  <c r="O151" i="12"/>
  <c r="P151" i="12" s="1"/>
  <c r="M151" i="12"/>
  <c r="L151" i="12"/>
  <c r="H151" i="12"/>
  <c r="N151" i="12" s="1"/>
  <c r="O150" i="12"/>
  <c r="M150" i="12"/>
  <c r="M149" i="12" s="1"/>
  <c r="K150" i="12"/>
  <c r="K149" i="12" s="1"/>
  <c r="H150" i="12"/>
  <c r="N150" i="12" s="1"/>
  <c r="N149" i="12" s="1"/>
  <c r="J149" i="12"/>
  <c r="I149" i="12"/>
  <c r="G149" i="12"/>
  <c r="F149" i="12"/>
  <c r="I148" i="12"/>
  <c r="I147" i="12" s="1"/>
  <c r="N146" i="12"/>
  <c r="M146" i="12"/>
  <c r="O146" i="12" s="1"/>
  <c r="H146" i="12"/>
  <c r="H145" i="12"/>
  <c r="N145" i="12" s="1"/>
  <c r="G145" i="12"/>
  <c r="M145" i="12" s="1"/>
  <c r="O145" i="12" s="1"/>
  <c r="M144" i="12"/>
  <c r="O144" i="12" s="1"/>
  <c r="H144" i="12"/>
  <c r="N144" i="12" s="1"/>
  <c r="G144" i="12"/>
  <c r="L143" i="12"/>
  <c r="I142" i="12"/>
  <c r="I141" i="12" s="1"/>
  <c r="I140" i="12" s="1"/>
  <c r="G142" i="12"/>
  <c r="G141" i="12" s="1"/>
  <c r="G140" i="12" s="1"/>
  <c r="F142" i="12"/>
  <c r="F141" i="12" s="1"/>
  <c r="F140" i="12" s="1"/>
  <c r="M138" i="12"/>
  <c r="O138" i="12" s="1"/>
  <c r="H138" i="12"/>
  <c r="N138" i="12" s="1"/>
  <c r="N137" i="12"/>
  <c r="M137" i="12"/>
  <c r="O137" i="12" s="1"/>
  <c r="N136" i="12"/>
  <c r="M136" i="12"/>
  <c r="O136" i="12" s="1"/>
  <c r="N135" i="12"/>
  <c r="M135" i="12"/>
  <c r="O135" i="12" s="1"/>
  <c r="N134" i="12"/>
  <c r="M134" i="12"/>
  <c r="L134" i="12"/>
  <c r="H134" i="12"/>
  <c r="M133" i="12"/>
  <c r="L133" i="12"/>
  <c r="H133" i="12"/>
  <c r="N133" i="12" s="1"/>
  <c r="L132" i="12"/>
  <c r="G132" i="12"/>
  <c r="L131" i="12"/>
  <c r="G131" i="12"/>
  <c r="M130" i="12"/>
  <c r="L130" i="12"/>
  <c r="O130" i="12" s="1"/>
  <c r="H130" i="12"/>
  <c r="M129" i="12"/>
  <c r="M128" i="12" s="1"/>
  <c r="L129" i="12"/>
  <c r="K129" i="12"/>
  <c r="K128" i="12" s="1"/>
  <c r="I129" i="12"/>
  <c r="I128" i="12" s="1"/>
  <c r="I118" i="12" s="1"/>
  <c r="H129" i="12"/>
  <c r="H128" i="12" s="1"/>
  <c r="G129" i="12"/>
  <c r="G128" i="12" s="1"/>
  <c r="F129" i="12"/>
  <c r="F128" i="12" s="1"/>
  <c r="F118" i="12" s="1"/>
  <c r="M127" i="12"/>
  <c r="O127" i="12" s="1"/>
  <c r="H127" i="12"/>
  <c r="N127" i="12" s="1"/>
  <c r="O126" i="12"/>
  <c r="M126" i="12"/>
  <c r="H126" i="12"/>
  <c r="N126" i="12" s="1"/>
  <c r="M125" i="12"/>
  <c r="L125" i="12"/>
  <c r="H125" i="12"/>
  <c r="N125" i="12" s="1"/>
  <c r="M124" i="12"/>
  <c r="L124" i="12"/>
  <c r="H124" i="12"/>
  <c r="N124" i="12" s="1"/>
  <c r="M123" i="12"/>
  <c r="L123" i="12"/>
  <c r="F123" i="12"/>
  <c r="M122" i="12"/>
  <c r="M120" i="12" s="1"/>
  <c r="M119" i="12" s="1"/>
  <c r="L122" i="12"/>
  <c r="L120" i="12" s="1"/>
  <c r="L119" i="12" s="1"/>
  <c r="H122" i="12"/>
  <c r="N122" i="12" s="1"/>
  <c r="M121" i="12"/>
  <c r="O121" i="12" s="1"/>
  <c r="P121" i="12" s="1"/>
  <c r="L121" i="12"/>
  <c r="H121" i="12"/>
  <c r="N121" i="12" s="1"/>
  <c r="K120" i="12"/>
  <c r="K119" i="12" s="1"/>
  <c r="I120" i="12"/>
  <c r="G120" i="12"/>
  <c r="G119" i="12" s="1"/>
  <c r="F120" i="12"/>
  <c r="F119" i="12" s="1"/>
  <c r="I119" i="12"/>
  <c r="J118" i="12"/>
  <c r="N117" i="12"/>
  <c r="N116" i="12" s="1"/>
  <c r="N115" i="12" s="1"/>
  <c r="M117" i="12"/>
  <c r="M116" i="12" s="1"/>
  <c r="M115" i="12" s="1"/>
  <c r="L117" i="12"/>
  <c r="L116" i="12" s="1"/>
  <c r="H117" i="12"/>
  <c r="K116" i="12"/>
  <c r="K115" i="12" s="1"/>
  <c r="I116" i="12"/>
  <c r="I115" i="12" s="1"/>
  <c r="H116" i="12"/>
  <c r="H115" i="12" s="1"/>
  <c r="G116" i="12"/>
  <c r="G115" i="12" s="1"/>
  <c r="F116" i="12"/>
  <c r="F115" i="12" s="1"/>
  <c r="N114" i="12"/>
  <c r="N113" i="12" s="1"/>
  <c r="M114" i="12"/>
  <c r="L114" i="12"/>
  <c r="O114" i="12" s="1"/>
  <c r="P114" i="12" s="1"/>
  <c r="M113" i="12"/>
  <c r="K113" i="12"/>
  <c r="I113" i="12"/>
  <c r="H113" i="12"/>
  <c r="G113" i="12"/>
  <c r="F113" i="12"/>
  <c r="M112" i="12"/>
  <c r="O112" i="12" s="1"/>
  <c r="L112" i="12"/>
  <c r="K112" i="12"/>
  <c r="N112" i="12" s="1"/>
  <c r="N111" i="12" s="1"/>
  <c r="L111" i="12"/>
  <c r="K111" i="12"/>
  <c r="J111" i="12"/>
  <c r="I111" i="12"/>
  <c r="H111" i="12"/>
  <c r="G111" i="12"/>
  <c r="F111" i="12"/>
  <c r="M110" i="12"/>
  <c r="L110" i="12"/>
  <c r="O110" i="12" s="1"/>
  <c r="K110" i="12"/>
  <c r="H110" i="12"/>
  <c r="N110" i="12" s="1"/>
  <c r="M109" i="12"/>
  <c r="K108" i="12"/>
  <c r="K107" i="12" s="1"/>
  <c r="H109" i="12"/>
  <c r="H108" i="12" s="1"/>
  <c r="H107" i="12" s="1"/>
  <c r="J108" i="12"/>
  <c r="J107" i="12" s="1"/>
  <c r="J106" i="12" s="1"/>
  <c r="I108" i="12"/>
  <c r="I107" i="12" s="1"/>
  <c r="G108" i="12"/>
  <c r="G107" i="12" s="1"/>
  <c r="F108" i="12"/>
  <c r="F107" i="12" s="1"/>
  <c r="O105" i="12"/>
  <c r="M105" i="12"/>
  <c r="M104" i="12" s="1"/>
  <c r="L105" i="12"/>
  <c r="K105" i="12"/>
  <c r="K104" i="12" s="1"/>
  <c r="K97" i="12" s="1"/>
  <c r="K96" i="12" s="1"/>
  <c r="H105" i="12"/>
  <c r="L104" i="12"/>
  <c r="O104" i="12" s="1"/>
  <c r="J104" i="12"/>
  <c r="I104" i="12"/>
  <c r="H104" i="12"/>
  <c r="G104" i="12"/>
  <c r="F104" i="12"/>
  <c r="N103" i="12"/>
  <c r="M103" i="12"/>
  <c r="O103" i="12" s="1"/>
  <c r="L103" i="12"/>
  <c r="N102" i="12"/>
  <c r="M102" i="12"/>
  <c r="H102" i="12"/>
  <c r="F102" i="12"/>
  <c r="L102" i="12" s="1"/>
  <c r="M101" i="12"/>
  <c r="O101" i="12" s="1"/>
  <c r="L101" i="12"/>
  <c r="H101" i="12"/>
  <c r="N101" i="12" s="1"/>
  <c r="M100" i="12"/>
  <c r="K100" i="12"/>
  <c r="N100" i="12" s="1"/>
  <c r="I100" i="12"/>
  <c r="H100" i="12"/>
  <c r="F100" i="12"/>
  <c r="L100" i="12" s="1"/>
  <c r="N99" i="12"/>
  <c r="M99" i="12"/>
  <c r="L99" i="12"/>
  <c r="H99" i="12"/>
  <c r="N98" i="12"/>
  <c r="M98" i="12"/>
  <c r="L98" i="12"/>
  <c r="H98" i="12"/>
  <c r="J97" i="12"/>
  <c r="J96" i="12" s="1"/>
  <c r="I97" i="12"/>
  <c r="H97" i="12"/>
  <c r="H96" i="12" s="1"/>
  <c r="G97" i="12"/>
  <c r="I96" i="12"/>
  <c r="G96" i="12"/>
  <c r="M94" i="12"/>
  <c r="M93" i="12" s="1"/>
  <c r="M92" i="12" s="1"/>
  <c r="M91" i="12" s="1"/>
  <c r="H94" i="12"/>
  <c r="N94" i="12" s="1"/>
  <c r="N93" i="12" s="1"/>
  <c r="N92" i="12" s="1"/>
  <c r="N91" i="12" s="1"/>
  <c r="L93" i="12"/>
  <c r="L92" i="12" s="1"/>
  <c r="K93" i="12"/>
  <c r="K92" i="12" s="1"/>
  <c r="K91" i="12" s="1"/>
  <c r="I93" i="12"/>
  <c r="I92" i="12" s="1"/>
  <c r="I91" i="12" s="1"/>
  <c r="H93" i="12"/>
  <c r="H92" i="12" s="1"/>
  <c r="H91" i="12" s="1"/>
  <c r="G93" i="12"/>
  <c r="G92" i="12" s="1"/>
  <c r="G91" i="12" s="1"/>
  <c r="F93" i="12"/>
  <c r="F92" i="12" s="1"/>
  <c r="F91" i="12" s="1"/>
  <c r="J91" i="12"/>
  <c r="M90" i="12"/>
  <c r="L90" i="12"/>
  <c r="H90" i="12"/>
  <c r="K89" i="12"/>
  <c r="K88" i="12" s="1"/>
  <c r="I89" i="12"/>
  <c r="H89" i="12"/>
  <c r="G89" i="12"/>
  <c r="F89" i="12"/>
  <c r="F88" i="12" s="1"/>
  <c r="I88" i="12"/>
  <c r="H88" i="12"/>
  <c r="G88" i="12"/>
  <c r="M87" i="12"/>
  <c r="O87" i="12" s="1"/>
  <c r="P87" i="12" s="1"/>
  <c r="L87" i="12"/>
  <c r="H87" i="12"/>
  <c r="N87" i="12" s="1"/>
  <c r="N86" i="12" s="1"/>
  <c r="N85" i="12" s="1"/>
  <c r="L86" i="12"/>
  <c r="L85" i="12" s="1"/>
  <c r="K86" i="12"/>
  <c r="K85" i="12" s="1"/>
  <c r="K84" i="12" s="1"/>
  <c r="I86" i="12"/>
  <c r="I85" i="12" s="1"/>
  <c r="I84" i="12" s="1"/>
  <c r="G86" i="12"/>
  <c r="G85" i="12" s="1"/>
  <c r="F86" i="12"/>
  <c r="F85" i="12" s="1"/>
  <c r="J84" i="12"/>
  <c r="J83" i="12"/>
  <c r="M80" i="12"/>
  <c r="L80" i="12"/>
  <c r="H80" i="12"/>
  <c r="N80" i="12" s="1"/>
  <c r="M79" i="12"/>
  <c r="L79" i="12"/>
  <c r="H79" i="12"/>
  <c r="N79" i="12" s="1"/>
  <c r="M76" i="12"/>
  <c r="L76" i="12"/>
  <c r="H76" i="12"/>
  <c r="N76" i="12" s="1"/>
  <c r="K75" i="12"/>
  <c r="I75" i="12"/>
  <c r="H75" i="12"/>
  <c r="H73" i="12" s="1"/>
  <c r="G75" i="12"/>
  <c r="G73" i="12" s="1"/>
  <c r="F75" i="12"/>
  <c r="K74" i="12"/>
  <c r="K73" i="12" s="1"/>
  <c r="I74" i="12"/>
  <c r="I73" i="12" s="1"/>
  <c r="F74" i="12"/>
  <c r="F73" i="12" s="1"/>
  <c r="J73" i="12"/>
  <c r="O72" i="12"/>
  <c r="P72" i="12" s="1"/>
  <c r="N71" i="12"/>
  <c r="M71" i="12"/>
  <c r="L71" i="12"/>
  <c r="H71" i="12"/>
  <c r="M70" i="12"/>
  <c r="L70" i="12"/>
  <c r="H70" i="12"/>
  <c r="N70" i="12" s="1"/>
  <c r="N69" i="12" s="1"/>
  <c r="N68" i="12" s="1"/>
  <c r="K69" i="12"/>
  <c r="I69" i="12"/>
  <c r="I68" i="12" s="1"/>
  <c r="G69" i="12"/>
  <c r="G68" i="12" s="1"/>
  <c r="F69" i="12"/>
  <c r="F68" i="12" s="1"/>
  <c r="K68" i="12"/>
  <c r="N67" i="12"/>
  <c r="L67" i="12"/>
  <c r="O67" i="12" s="1"/>
  <c r="P67" i="12" s="1"/>
  <c r="N66" i="12"/>
  <c r="L66" i="12"/>
  <c r="O66" i="12" s="1"/>
  <c r="P66" i="12" s="1"/>
  <c r="N65" i="12"/>
  <c r="L65" i="12"/>
  <c r="O65" i="12" s="1"/>
  <c r="P65" i="12" s="1"/>
  <c r="N64" i="12"/>
  <c r="N63" i="12" s="1"/>
  <c r="M64" i="12"/>
  <c r="L64" i="12"/>
  <c r="O64" i="12" s="1"/>
  <c r="P64" i="12" s="1"/>
  <c r="M63" i="12"/>
  <c r="K63" i="12"/>
  <c r="I63" i="12"/>
  <c r="H63" i="12"/>
  <c r="G63" i="12"/>
  <c r="F63" i="12"/>
  <c r="M62" i="12"/>
  <c r="O62" i="12" s="1"/>
  <c r="L62" i="12"/>
  <c r="N62" i="12" s="1"/>
  <c r="N61" i="12" s="1"/>
  <c r="K62" i="12"/>
  <c r="O61" i="12"/>
  <c r="M61" i="12"/>
  <c r="L61" i="12"/>
  <c r="K61" i="12"/>
  <c r="J61" i="12"/>
  <c r="L60" i="12"/>
  <c r="K60" i="12"/>
  <c r="H60" i="12"/>
  <c r="H59" i="12" s="1"/>
  <c r="M60" i="12"/>
  <c r="L59" i="12"/>
  <c r="K59" i="12"/>
  <c r="J59" i="12"/>
  <c r="I59" i="12"/>
  <c r="G59" i="12"/>
  <c r="F59" i="12"/>
  <c r="M58" i="12"/>
  <c r="L58" i="12"/>
  <c r="L57" i="12" s="1"/>
  <c r="K58" i="12"/>
  <c r="K57" i="12" s="1"/>
  <c r="H58" i="12"/>
  <c r="N58" i="12" s="1"/>
  <c r="N57" i="12" s="1"/>
  <c r="J57" i="12"/>
  <c r="I57" i="12"/>
  <c r="G57" i="12"/>
  <c r="M57" i="12" s="1"/>
  <c r="F57" i="12"/>
  <c r="H57" i="12" s="1"/>
  <c r="M56" i="12"/>
  <c r="M55" i="12" s="1"/>
  <c r="O55" i="12" s="1"/>
  <c r="L56" i="12"/>
  <c r="H56" i="12"/>
  <c r="H55" i="12" s="1"/>
  <c r="L55" i="12"/>
  <c r="K55" i="12"/>
  <c r="J55" i="12"/>
  <c r="I55" i="12"/>
  <c r="G55" i="12"/>
  <c r="F55" i="12"/>
  <c r="N54" i="12"/>
  <c r="M54" i="12"/>
  <c r="L54" i="12"/>
  <c r="O54" i="12" s="1"/>
  <c r="P54" i="12" s="1"/>
  <c r="M53" i="12"/>
  <c r="L53" i="12"/>
  <c r="K53" i="12"/>
  <c r="N53" i="12" s="1"/>
  <c r="H53" i="12"/>
  <c r="F53" i="12"/>
  <c r="M52" i="12"/>
  <c r="L52" i="12"/>
  <c r="H52" i="12"/>
  <c r="N52" i="12" s="1"/>
  <c r="L51" i="12"/>
  <c r="M51" i="12"/>
  <c r="M50" i="12" s="1"/>
  <c r="H51" i="12"/>
  <c r="L50" i="12"/>
  <c r="J50" i="12"/>
  <c r="J49" i="12" s="1"/>
  <c r="J48" i="12" s="1"/>
  <c r="I50" i="12"/>
  <c r="I49" i="12" s="1"/>
  <c r="G50" i="12"/>
  <c r="F50" i="12"/>
  <c r="O47" i="12"/>
  <c r="P47" i="12" s="1"/>
  <c r="N46" i="12"/>
  <c r="M46" i="12"/>
  <c r="L46" i="12"/>
  <c r="O46" i="12" s="1"/>
  <c r="P46" i="12" s="1"/>
  <c r="K46" i="12"/>
  <c r="I46" i="12"/>
  <c r="I41" i="12" s="1"/>
  <c r="I40" i="12" s="1"/>
  <c r="H46" i="12"/>
  <c r="G46" i="12"/>
  <c r="F46" i="12"/>
  <c r="N45" i="12"/>
  <c r="N44" i="12" s="1"/>
  <c r="M45" i="12"/>
  <c r="L45" i="12"/>
  <c r="O45" i="12" s="1"/>
  <c r="P45" i="12" s="1"/>
  <c r="M44" i="12"/>
  <c r="K44" i="12"/>
  <c r="I44" i="12"/>
  <c r="H44" i="12"/>
  <c r="G44" i="12"/>
  <c r="F44" i="12"/>
  <c r="M43" i="12"/>
  <c r="N43" i="12" s="1"/>
  <c r="N42" i="12" s="1"/>
  <c r="L43" i="12"/>
  <c r="H43" i="12"/>
  <c r="H42" i="12" s="1"/>
  <c r="H41" i="12" s="1"/>
  <c r="H40" i="12" s="1"/>
  <c r="L42" i="12"/>
  <c r="K42" i="12"/>
  <c r="K41" i="12" s="1"/>
  <c r="I42" i="12"/>
  <c r="G42" i="12"/>
  <c r="F42" i="12"/>
  <c r="F41" i="12" s="1"/>
  <c r="K40" i="12"/>
  <c r="F40" i="12"/>
  <c r="O38" i="12"/>
  <c r="P38" i="12" s="1"/>
  <c r="O37" i="12"/>
  <c r="P37" i="12" s="1"/>
  <c r="N36" i="12"/>
  <c r="M36" i="12"/>
  <c r="L36" i="12"/>
  <c r="O36" i="12" s="1"/>
  <c r="P36" i="12" s="1"/>
  <c r="K36" i="12"/>
  <c r="I36" i="12"/>
  <c r="H36" i="12"/>
  <c r="G36" i="12"/>
  <c r="F36" i="12"/>
  <c r="N35" i="12"/>
  <c r="M35" i="12"/>
  <c r="L35" i="12"/>
  <c r="K35" i="12"/>
  <c r="I35" i="12"/>
  <c r="I34" i="12" s="1"/>
  <c r="H35" i="12"/>
  <c r="G35" i="12"/>
  <c r="G34" i="12" s="1"/>
  <c r="F35" i="12"/>
  <c r="F34" i="12" s="1"/>
  <c r="N34" i="12"/>
  <c r="M34" i="12"/>
  <c r="L34" i="12"/>
  <c r="K34" i="12"/>
  <c r="J34" i="12"/>
  <c r="H34" i="12"/>
  <c r="M33" i="12"/>
  <c r="O33" i="12" s="1"/>
  <c r="P33" i="12" s="1"/>
  <c r="L33" i="12"/>
  <c r="K33" i="12"/>
  <c r="N33" i="12" s="1"/>
  <c r="L32" i="12"/>
  <c r="O32" i="12" s="1"/>
  <c r="P32" i="12" s="1"/>
  <c r="J32" i="12"/>
  <c r="I32" i="12"/>
  <c r="K32" i="12" s="1"/>
  <c r="N32" i="12" s="1"/>
  <c r="N31" i="12"/>
  <c r="N30" i="12" s="1"/>
  <c r="M31" i="12"/>
  <c r="L31" i="12"/>
  <c r="O31" i="12" s="1"/>
  <c r="P31" i="12" s="1"/>
  <c r="H31" i="12"/>
  <c r="M30" i="12"/>
  <c r="K30" i="12"/>
  <c r="I30" i="12"/>
  <c r="H30" i="12"/>
  <c r="G30" i="12"/>
  <c r="F30" i="12"/>
  <c r="O29" i="12"/>
  <c r="P29" i="12" s="1"/>
  <c r="M28" i="12"/>
  <c r="L28" i="12"/>
  <c r="O28" i="12" s="1"/>
  <c r="K28" i="12"/>
  <c r="H28" i="12"/>
  <c r="N28" i="12" s="1"/>
  <c r="M27" i="12"/>
  <c r="O27" i="12" s="1"/>
  <c r="L27" i="12"/>
  <c r="H27" i="12"/>
  <c r="K26" i="12"/>
  <c r="J26" i="12"/>
  <c r="I26" i="12"/>
  <c r="I25" i="12" s="1"/>
  <c r="G26" i="12"/>
  <c r="G25" i="12" s="1"/>
  <c r="F26" i="12"/>
  <c r="F25" i="12" s="1"/>
  <c r="J25" i="12"/>
  <c r="M24" i="12"/>
  <c r="L24" i="12"/>
  <c r="O24" i="12" s="1"/>
  <c r="H24" i="12"/>
  <c r="H23" i="12" s="1"/>
  <c r="L23" i="12"/>
  <c r="K23" i="12"/>
  <c r="I23" i="12"/>
  <c r="G23" i="12"/>
  <c r="F23" i="12"/>
  <c r="N22" i="12"/>
  <c r="M22" i="12"/>
  <c r="L22" i="12"/>
  <c r="K22" i="12"/>
  <c r="M21" i="12"/>
  <c r="L21" i="12"/>
  <c r="K21" i="12"/>
  <c r="N21" i="12"/>
  <c r="K20" i="12"/>
  <c r="K19" i="12" s="1"/>
  <c r="J20" i="12"/>
  <c r="I20" i="12"/>
  <c r="I19" i="12" s="1"/>
  <c r="I18" i="12" s="1"/>
  <c r="G20" i="12"/>
  <c r="G19" i="12" s="1"/>
  <c r="G18" i="12" s="1"/>
  <c r="F20" i="12"/>
  <c r="J18" i="12"/>
  <c r="G341" i="12" l="1"/>
  <c r="H343" i="12"/>
  <c r="P344" i="12"/>
  <c r="P55" i="12"/>
  <c r="N56" i="12"/>
  <c r="N55" i="12" s="1"/>
  <c r="G41" i="12"/>
  <c r="G40" i="12" s="1"/>
  <c r="H50" i="12"/>
  <c r="H49" i="12" s="1"/>
  <c r="O52" i="12"/>
  <c r="P52" i="12" s="1"/>
  <c r="H363" i="12"/>
  <c r="H362" i="12" s="1"/>
  <c r="L69" i="12"/>
  <c r="O400" i="12"/>
  <c r="P400" i="12" s="1"/>
  <c r="O371" i="12"/>
  <c r="G400" i="12"/>
  <c r="G399" i="12" s="1"/>
  <c r="O401" i="12"/>
  <c r="K411" i="12"/>
  <c r="K398" i="12" s="1"/>
  <c r="M69" i="12"/>
  <c r="M68" i="12" s="1"/>
  <c r="K250" i="12"/>
  <c r="H69" i="12"/>
  <c r="H68" i="12" s="1"/>
  <c r="O79" i="12"/>
  <c r="P79" i="12" s="1"/>
  <c r="O80" i="12"/>
  <c r="J39" i="12"/>
  <c r="I83" i="12"/>
  <c r="P138" i="12"/>
  <c r="N414" i="12"/>
  <c r="O335" i="12"/>
  <c r="P335" i="12" s="1"/>
  <c r="P401" i="12"/>
  <c r="K196" i="12"/>
  <c r="O208" i="12"/>
  <c r="O268" i="12"/>
  <c r="P268" i="12" s="1"/>
  <c r="M20" i="12"/>
  <c r="M19" i="12" s="1"/>
  <c r="O134" i="12"/>
  <c r="P134" i="12" s="1"/>
  <c r="O316" i="12"/>
  <c r="P316" i="12" s="1"/>
  <c r="O320" i="12"/>
  <c r="P320" i="12" s="1"/>
  <c r="M333" i="12"/>
  <c r="M332" i="12" s="1"/>
  <c r="M331" i="12" s="1"/>
  <c r="O76" i="12"/>
  <c r="P76" i="12" s="1"/>
  <c r="O414" i="12"/>
  <c r="P414" i="12" s="1"/>
  <c r="O417" i="12"/>
  <c r="P417" i="12" s="1"/>
  <c r="O418" i="12"/>
  <c r="K118" i="12"/>
  <c r="K106" i="12"/>
  <c r="P225" i="12"/>
  <c r="P280" i="12"/>
  <c r="K296" i="12"/>
  <c r="H296" i="12"/>
  <c r="P305" i="12"/>
  <c r="P346" i="12"/>
  <c r="L75" i="12"/>
  <c r="L74" i="12" s="1"/>
  <c r="L73" i="12" s="1"/>
  <c r="I196" i="12"/>
  <c r="I260" i="12"/>
  <c r="I368" i="12"/>
  <c r="I348" i="12" s="1"/>
  <c r="O394" i="12"/>
  <c r="P394" i="12" s="1"/>
  <c r="F250" i="12"/>
  <c r="P389" i="12"/>
  <c r="O252" i="12"/>
  <c r="P252" i="12" s="1"/>
  <c r="N250" i="12"/>
  <c r="O205" i="12"/>
  <c r="P205" i="12" s="1"/>
  <c r="L231" i="12"/>
  <c r="O231" i="12" s="1"/>
  <c r="M245" i="12"/>
  <c r="M244" i="12" s="1"/>
  <c r="O244" i="12" s="1"/>
  <c r="P244" i="12" s="1"/>
  <c r="L251" i="12"/>
  <c r="O251" i="12" s="1"/>
  <c r="P251" i="12" s="1"/>
  <c r="H250" i="12"/>
  <c r="O264" i="12"/>
  <c r="P264" i="12" s="1"/>
  <c r="O301" i="12"/>
  <c r="P301" i="12" s="1"/>
  <c r="O317" i="12"/>
  <c r="P317" i="12" s="1"/>
  <c r="O319" i="12"/>
  <c r="P319" i="12" s="1"/>
  <c r="G368" i="12"/>
  <c r="O378" i="12"/>
  <c r="P378" i="12" s="1"/>
  <c r="K368" i="12"/>
  <c r="K348" i="12" s="1"/>
  <c r="P135" i="12"/>
  <c r="O22" i="12"/>
  <c r="P22" i="12" s="1"/>
  <c r="O98" i="12"/>
  <c r="P98" i="12" s="1"/>
  <c r="O99" i="12"/>
  <c r="P99" i="12" s="1"/>
  <c r="P103" i="12"/>
  <c r="O129" i="12"/>
  <c r="P146" i="12"/>
  <c r="N262" i="12"/>
  <c r="P281" i="12"/>
  <c r="I307" i="12"/>
  <c r="G307" i="12"/>
  <c r="O377" i="12"/>
  <c r="P377" i="12" s="1"/>
  <c r="L388" i="12"/>
  <c r="L387" i="12" s="1"/>
  <c r="O387" i="12" s="1"/>
  <c r="P387" i="12" s="1"/>
  <c r="O318" i="12"/>
  <c r="P318" i="12" s="1"/>
  <c r="O329" i="12"/>
  <c r="P329" i="12" s="1"/>
  <c r="O397" i="12"/>
  <c r="P397" i="12" s="1"/>
  <c r="I215" i="12"/>
  <c r="F84" i="12"/>
  <c r="F83" i="12" s="1"/>
  <c r="N223" i="12"/>
  <c r="K215" i="12"/>
  <c r="O246" i="12"/>
  <c r="I250" i="12"/>
  <c r="O263" i="12"/>
  <c r="P263" i="12" s="1"/>
  <c r="P279" i="12"/>
  <c r="F307" i="12"/>
  <c r="O328" i="12"/>
  <c r="P328" i="12" s="1"/>
  <c r="L370" i="12"/>
  <c r="L369" i="12" s="1"/>
  <c r="L368" i="12" s="1"/>
  <c r="O396" i="12"/>
  <c r="P396" i="12" s="1"/>
  <c r="N123" i="12"/>
  <c r="M131" i="12"/>
  <c r="O131" i="12" s="1"/>
  <c r="G118" i="12"/>
  <c r="H131" i="12"/>
  <c r="N131" i="12" s="1"/>
  <c r="O133" i="12"/>
  <c r="P133" i="12" s="1"/>
  <c r="O125" i="12"/>
  <c r="P125" i="12" s="1"/>
  <c r="H174" i="12"/>
  <c r="P126" i="12"/>
  <c r="P179" i="12"/>
  <c r="M200" i="12"/>
  <c r="O204" i="12"/>
  <c r="N20" i="12"/>
  <c r="O34" i="12"/>
  <c r="P34" i="12" s="1"/>
  <c r="O35" i="12"/>
  <c r="P35" i="12" s="1"/>
  <c r="M75" i="12"/>
  <c r="I106" i="12"/>
  <c r="P137" i="12"/>
  <c r="O167" i="12"/>
  <c r="P167" i="12" s="1"/>
  <c r="O169" i="12"/>
  <c r="P169" i="12" s="1"/>
  <c r="P176" i="12"/>
  <c r="I139" i="12"/>
  <c r="O209" i="12"/>
  <c r="P209" i="12" s="1"/>
  <c r="O102" i="12"/>
  <c r="P102" i="12" s="1"/>
  <c r="M97" i="12"/>
  <c r="M96" i="12" s="1"/>
  <c r="P145" i="12"/>
  <c r="P177" i="12"/>
  <c r="P127" i="12"/>
  <c r="P136" i="12"/>
  <c r="P178" i="12"/>
  <c r="O71" i="12"/>
  <c r="P71" i="12" s="1"/>
  <c r="G84" i="12"/>
  <c r="G83" i="12" s="1"/>
  <c r="O123" i="12"/>
  <c r="O124" i="12"/>
  <c r="P124" i="12" s="1"/>
  <c r="K83" i="12"/>
  <c r="O92" i="12"/>
  <c r="P92" i="12" s="1"/>
  <c r="P101" i="12"/>
  <c r="P204" i="12"/>
  <c r="O175" i="12"/>
  <c r="P175" i="12" s="1"/>
  <c r="O174" i="12"/>
  <c r="P174" i="12" s="1"/>
  <c r="M191" i="12"/>
  <c r="M190" i="12" s="1"/>
  <c r="O195" i="12"/>
  <c r="P195" i="12" s="1"/>
  <c r="H86" i="12"/>
  <c r="H85" i="12" s="1"/>
  <c r="H84" i="12" s="1"/>
  <c r="H83" i="12" s="1"/>
  <c r="M86" i="12"/>
  <c r="M85" i="12" s="1"/>
  <c r="O85" i="12" s="1"/>
  <c r="P85" i="12" s="1"/>
  <c r="O336" i="12"/>
  <c r="J95" i="12"/>
  <c r="I95" i="12"/>
  <c r="O53" i="12"/>
  <c r="P53" i="12" s="1"/>
  <c r="I48" i="12"/>
  <c r="I39" i="12" s="1"/>
  <c r="P202" i="12"/>
  <c r="F200" i="12"/>
  <c r="F196" i="12" s="1"/>
  <c r="L201" i="12"/>
  <c r="L200" i="12" s="1"/>
  <c r="H149" i="12"/>
  <c r="H148" i="12" s="1"/>
  <c r="H147" i="12" s="1"/>
  <c r="H120" i="12"/>
  <c r="H119" i="12" s="1"/>
  <c r="H118" i="12" s="1"/>
  <c r="O120" i="12"/>
  <c r="O119" i="12"/>
  <c r="N120" i="12"/>
  <c r="N119" i="12" s="1"/>
  <c r="O122" i="12"/>
  <c r="P122" i="12" s="1"/>
  <c r="G411" i="12"/>
  <c r="F427" i="12"/>
  <c r="F411" i="12" s="1"/>
  <c r="F398" i="12" s="1"/>
  <c r="M393" i="12"/>
  <c r="O393" i="12" s="1"/>
  <c r="P393" i="12" s="1"/>
  <c r="H392" i="12"/>
  <c r="H391" i="12" s="1"/>
  <c r="O369" i="12"/>
  <c r="P369" i="12" s="1"/>
  <c r="P371" i="12"/>
  <c r="H370" i="12"/>
  <c r="H368" i="12" s="1"/>
  <c r="F368" i="12"/>
  <c r="O364" i="12"/>
  <c r="P364" i="12" s="1"/>
  <c r="O365" i="12"/>
  <c r="P365" i="12" s="1"/>
  <c r="L363" i="12"/>
  <c r="L362" i="12" s="1"/>
  <c r="O361" i="12"/>
  <c r="G355" i="12"/>
  <c r="F355" i="12"/>
  <c r="O360" i="12"/>
  <c r="F349" i="12"/>
  <c r="G332" i="12"/>
  <c r="G331" i="12" s="1"/>
  <c r="O334" i="12"/>
  <c r="P334" i="12" s="1"/>
  <c r="N333" i="12"/>
  <c r="H333" i="12"/>
  <c r="H332" i="12" s="1"/>
  <c r="H331" i="12" s="1"/>
  <c r="M323" i="12"/>
  <c r="H324" i="12"/>
  <c r="H323" i="12" s="1"/>
  <c r="H307" i="12" s="1"/>
  <c r="N325" i="12"/>
  <c r="N324" i="12" s="1"/>
  <c r="N323" i="12" s="1"/>
  <c r="N326" i="12"/>
  <c r="P326" i="12" s="1"/>
  <c r="P291" i="12"/>
  <c r="L290" i="12"/>
  <c r="O290" i="12" s="1"/>
  <c r="P290" i="12" s="1"/>
  <c r="O285" i="12"/>
  <c r="L284" i="12"/>
  <c r="M273" i="12"/>
  <c r="O269" i="12"/>
  <c r="P269" i="12" s="1"/>
  <c r="O267" i="12"/>
  <c r="P267" i="12" s="1"/>
  <c r="M261" i="12"/>
  <c r="N266" i="12"/>
  <c r="H266" i="12"/>
  <c r="G250" i="12"/>
  <c r="P194" i="12"/>
  <c r="O193" i="12"/>
  <c r="P193" i="12" s="1"/>
  <c r="N192" i="12"/>
  <c r="N191" i="12" s="1"/>
  <c r="N190" i="12" s="1"/>
  <c r="H192" i="12"/>
  <c r="H191" i="12" s="1"/>
  <c r="H190" i="12" s="1"/>
  <c r="M166" i="12"/>
  <c r="O166" i="12" s="1"/>
  <c r="P166" i="12" s="1"/>
  <c r="H166" i="12"/>
  <c r="F159" i="12"/>
  <c r="F158" i="12" s="1"/>
  <c r="O164" i="12"/>
  <c r="N165" i="12"/>
  <c r="N164" i="12" s="1"/>
  <c r="O161" i="12"/>
  <c r="L160" i="12"/>
  <c r="O160" i="12" s="1"/>
  <c r="O152" i="12"/>
  <c r="G147" i="12"/>
  <c r="M148" i="12"/>
  <c r="M147" i="12" s="1"/>
  <c r="H106" i="12"/>
  <c r="G106" i="12"/>
  <c r="G95" i="12" s="1"/>
  <c r="F106" i="12"/>
  <c r="O109" i="12"/>
  <c r="O93" i="12"/>
  <c r="P93" i="12" s="1"/>
  <c r="N90" i="12"/>
  <c r="N89" i="12" s="1"/>
  <c r="N88" i="12" s="1"/>
  <c r="N84" i="12" s="1"/>
  <c r="N83" i="12" s="1"/>
  <c r="O90" i="12"/>
  <c r="P90" i="12" s="1"/>
  <c r="L89" i="12"/>
  <c r="L88" i="12" s="1"/>
  <c r="L84" i="12" s="1"/>
  <c r="F49" i="12"/>
  <c r="F48" i="12" s="1"/>
  <c r="F39" i="12" s="1"/>
  <c r="O58" i="12"/>
  <c r="P58" i="12" s="1"/>
  <c r="O56" i="12"/>
  <c r="P56" i="12" s="1"/>
  <c r="G49" i="12"/>
  <c r="G48" i="12" s="1"/>
  <c r="G39" i="12" s="1"/>
  <c r="P28" i="12"/>
  <c r="F19" i="12"/>
  <c r="F18" i="12" s="1"/>
  <c r="H20" i="12"/>
  <c r="H19" i="12" s="1"/>
  <c r="P27" i="12"/>
  <c r="L20" i="12"/>
  <c r="O21" i="12"/>
  <c r="P21" i="12" s="1"/>
  <c r="M26" i="12"/>
  <c r="M25" i="12" s="1"/>
  <c r="O50" i="12"/>
  <c r="P61" i="12"/>
  <c r="O23" i="12"/>
  <c r="O57" i="12"/>
  <c r="P57" i="12" s="1"/>
  <c r="P80" i="12"/>
  <c r="K95" i="12"/>
  <c r="P144" i="12"/>
  <c r="O116" i="12"/>
  <c r="P116" i="12" s="1"/>
  <c r="L115" i="12"/>
  <c r="O115" i="12" s="1"/>
  <c r="P115" i="12" s="1"/>
  <c r="N27" i="12"/>
  <c r="N26" i="12" s="1"/>
  <c r="N25" i="12" s="1"/>
  <c r="H26" i="12"/>
  <c r="H25" i="12" s="1"/>
  <c r="O69" i="12"/>
  <c r="P69" i="12" s="1"/>
  <c r="L68" i="12"/>
  <c r="O68" i="12" s="1"/>
  <c r="P68" i="12" s="1"/>
  <c r="N24" i="12"/>
  <c r="N23" i="12" s="1"/>
  <c r="M23" i="12"/>
  <c r="K25" i="12"/>
  <c r="K18" i="12" s="1"/>
  <c r="L26" i="12"/>
  <c r="L30" i="12"/>
  <c r="O30" i="12" s="1"/>
  <c r="P30" i="12" s="1"/>
  <c r="N41" i="12"/>
  <c r="N40" i="12" s="1"/>
  <c r="O51" i="12"/>
  <c r="O60" i="12"/>
  <c r="P62" i="12"/>
  <c r="N75" i="12"/>
  <c r="O100" i="12"/>
  <c r="P100" i="12" s="1"/>
  <c r="L97" i="12"/>
  <c r="P112" i="12"/>
  <c r="O149" i="12"/>
  <c r="P149" i="12" s="1"/>
  <c r="N60" i="12"/>
  <c r="N59" i="12" s="1"/>
  <c r="M59" i="12"/>
  <c r="M49" i="12" s="1"/>
  <c r="P110" i="12"/>
  <c r="M42" i="12"/>
  <c r="O43" i="12"/>
  <c r="P43" i="12" s="1"/>
  <c r="M89" i="12"/>
  <c r="L91" i="12"/>
  <c r="O94" i="12"/>
  <c r="P94" i="12" s="1"/>
  <c r="F97" i="12"/>
  <c r="F96" i="12" s="1"/>
  <c r="K51" i="12"/>
  <c r="O70" i="12"/>
  <c r="P70" i="12" s="1"/>
  <c r="N105" i="12"/>
  <c r="N104" i="12" s="1"/>
  <c r="N97" i="12" s="1"/>
  <c r="N96" i="12" s="1"/>
  <c r="M108" i="12"/>
  <c r="M107" i="12" s="1"/>
  <c r="M106" i="12" s="1"/>
  <c r="O117" i="12"/>
  <c r="P117" i="12" s="1"/>
  <c r="L128" i="12"/>
  <c r="N130" i="12"/>
  <c r="L142" i="12"/>
  <c r="N153" i="12"/>
  <c r="N152" i="12" s="1"/>
  <c r="P152" i="12" s="1"/>
  <c r="O153" i="12"/>
  <c r="O157" i="12"/>
  <c r="P157" i="12" s="1"/>
  <c r="L156" i="12"/>
  <c r="O156" i="12" s="1"/>
  <c r="P156" i="12" s="1"/>
  <c r="J159" i="12"/>
  <c r="J158" i="12" s="1"/>
  <c r="N161" i="12"/>
  <c r="N160" i="12" s="1"/>
  <c r="H160" i="12"/>
  <c r="N163" i="12"/>
  <c r="N162" i="12" s="1"/>
  <c r="P162" i="12" s="1"/>
  <c r="O163" i="12"/>
  <c r="O165" i="12"/>
  <c r="P165" i="12" s="1"/>
  <c r="O170" i="12"/>
  <c r="P170" i="12" s="1"/>
  <c r="N185" i="12"/>
  <c r="P185" i="12" s="1"/>
  <c r="N200" i="12"/>
  <c r="P246" i="12"/>
  <c r="K260" i="12"/>
  <c r="H168" i="12"/>
  <c r="N168" i="12" s="1"/>
  <c r="M168" i="12"/>
  <c r="O168" i="12" s="1"/>
  <c r="P181" i="12"/>
  <c r="N217" i="12"/>
  <c r="O217" i="12"/>
  <c r="P217" i="12" s="1"/>
  <c r="L44" i="12"/>
  <c r="L63" i="12"/>
  <c r="O63" i="12" s="1"/>
  <c r="P63" i="12" s="1"/>
  <c r="N109" i="12"/>
  <c r="N108" i="12" s="1"/>
  <c r="N107" i="12" s="1"/>
  <c r="N106" i="12" s="1"/>
  <c r="L113" i="12"/>
  <c r="O113" i="12" s="1"/>
  <c r="P113" i="12" s="1"/>
  <c r="M143" i="12"/>
  <c r="M142" i="12" s="1"/>
  <c r="M141" i="12" s="1"/>
  <c r="M140" i="12" s="1"/>
  <c r="H143" i="12"/>
  <c r="O155" i="12"/>
  <c r="P155" i="12" s="1"/>
  <c r="M173" i="12"/>
  <c r="M172" i="12" s="1"/>
  <c r="G172" i="12"/>
  <c r="G159" i="12" s="1"/>
  <c r="G158" i="12" s="1"/>
  <c r="H173" i="12"/>
  <c r="O180" i="12"/>
  <c r="P180" i="12" s="1"/>
  <c r="L191" i="12"/>
  <c r="O192" i="12"/>
  <c r="P192" i="12" s="1"/>
  <c r="N222" i="12"/>
  <c r="O222" i="12"/>
  <c r="M111" i="12"/>
  <c r="O111" i="12" s="1"/>
  <c r="P111" i="12" s="1"/>
  <c r="M132" i="12"/>
  <c r="O132" i="12" s="1"/>
  <c r="H132" i="12"/>
  <c r="N132" i="12" s="1"/>
  <c r="K143" i="12"/>
  <c r="K142" i="12" s="1"/>
  <c r="K141" i="12" s="1"/>
  <c r="K140" i="12" s="1"/>
  <c r="J142" i="12"/>
  <c r="J141" i="12" s="1"/>
  <c r="J140" i="12" s="1"/>
  <c r="J139" i="12" s="1"/>
  <c r="F148" i="12"/>
  <c r="F147" i="12" s="1"/>
  <c r="P150" i="12"/>
  <c r="H154" i="12"/>
  <c r="P171" i="12"/>
  <c r="L172" i="12"/>
  <c r="M250" i="12"/>
  <c r="L198" i="12"/>
  <c r="H201" i="12"/>
  <c r="H200" i="12" s="1"/>
  <c r="O206" i="12"/>
  <c r="P206" i="12" s="1"/>
  <c r="F207" i="12"/>
  <c r="L207" i="12" s="1"/>
  <c r="O207" i="12" s="1"/>
  <c r="P207" i="12" s="1"/>
  <c r="J216" i="12"/>
  <c r="F221" i="12"/>
  <c r="F220" i="12" s="1"/>
  <c r="F215" i="12" s="1"/>
  <c r="L215" i="12" s="1"/>
  <c r="N234" i="12"/>
  <c r="N233" i="12" s="1"/>
  <c r="N232" i="12" s="1"/>
  <c r="N231" i="12" s="1"/>
  <c r="P231" i="12" s="1"/>
  <c r="L242" i="12"/>
  <c r="O253" i="12"/>
  <c r="P253" i="12" s="1"/>
  <c r="L257" i="12"/>
  <c r="L262" i="12"/>
  <c r="O274" i="12"/>
  <c r="P274" i="12" s="1"/>
  <c r="O277" i="12"/>
  <c r="P277" i="12" s="1"/>
  <c r="L276" i="12"/>
  <c r="M287" i="12"/>
  <c r="M286" i="12" s="1"/>
  <c r="G296" i="12"/>
  <c r="N296" i="12"/>
  <c r="M198" i="12"/>
  <c r="M197" i="12" s="1"/>
  <c r="O234" i="12"/>
  <c r="O288" i="12"/>
  <c r="L287" i="12"/>
  <c r="N208" i="12"/>
  <c r="P208" i="12" s="1"/>
  <c r="H214" i="12"/>
  <c r="N214" i="12" s="1"/>
  <c r="G213" i="12"/>
  <c r="L221" i="12"/>
  <c r="O223" i="12"/>
  <c r="L227" i="12"/>
  <c r="P239" i="12"/>
  <c r="O247" i="12"/>
  <c r="P247" i="12" s="1"/>
  <c r="P249" i="12"/>
  <c r="H262" i="12"/>
  <c r="O266" i="12"/>
  <c r="N285" i="12"/>
  <c r="N284" i="12" s="1"/>
  <c r="N283" i="12" s="1"/>
  <c r="N282" i="12" s="1"/>
  <c r="H284" i="12"/>
  <c r="H283" i="12" s="1"/>
  <c r="H282" i="12" s="1"/>
  <c r="O214" i="12"/>
  <c r="H224" i="12"/>
  <c r="N224" i="12" s="1"/>
  <c r="P224" i="12" s="1"/>
  <c r="G221" i="12"/>
  <c r="O233" i="12"/>
  <c r="F260" i="12"/>
  <c r="F259" i="12" s="1"/>
  <c r="O293" i="12"/>
  <c r="P293" i="12" s="1"/>
  <c r="L292" i="12"/>
  <c r="O292" i="12" s="1"/>
  <c r="P292" i="12" s="1"/>
  <c r="P310" i="12"/>
  <c r="N309" i="12"/>
  <c r="N308" i="12" s="1"/>
  <c r="H289" i="12"/>
  <c r="O289" i="12"/>
  <c r="H290" i="12"/>
  <c r="O294" i="12"/>
  <c r="P294" i="12" s="1"/>
  <c r="L300" i="12"/>
  <c r="O300" i="12" s="1"/>
  <c r="P300" i="12" s="1"/>
  <c r="K307" i="12"/>
  <c r="L333" i="12"/>
  <c r="O337" i="12"/>
  <c r="L343" i="12"/>
  <c r="F341" i="12"/>
  <c r="F330" i="12" s="1"/>
  <c r="L351" i="12"/>
  <c r="N337" i="12"/>
  <c r="N336" i="12" s="1"/>
  <c r="K336" i="12"/>
  <c r="K332" i="12" s="1"/>
  <c r="K331" i="12" s="1"/>
  <c r="K330" i="12" s="1"/>
  <c r="H338" i="12"/>
  <c r="N338" i="12" s="1"/>
  <c r="M338" i="12"/>
  <c r="G288" i="12"/>
  <c r="G287" i="12" s="1"/>
  <c r="G286" i="12" s="1"/>
  <c r="M309" i="12"/>
  <c r="M308" i="12" s="1"/>
  <c r="L325" i="12"/>
  <c r="I332" i="12"/>
  <c r="I331" i="12" s="1"/>
  <c r="I330" i="12" s="1"/>
  <c r="O338" i="12"/>
  <c r="H353" i="12"/>
  <c r="N353" i="12" s="1"/>
  <c r="M353" i="12"/>
  <c r="O353" i="12" s="1"/>
  <c r="L355" i="12"/>
  <c r="I296" i="12"/>
  <c r="O299" i="12"/>
  <c r="P299" i="12" s="1"/>
  <c r="M298" i="12"/>
  <c r="M297" i="12" s="1"/>
  <c r="M296" i="12" s="1"/>
  <c r="P306" i="12"/>
  <c r="L308" i="12"/>
  <c r="O309" i="12"/>
  <c r="P309" i="12" s="1"/>
  <c r="P311" i="12"/>
  <c r="P312" i="12"/>
  <c r="M352" i="12"/>
  <c r="M351" i="12" s="1"/>
  <c r="M350" i="12" s="1"/>
  <c r="G351" i="12"/>
  <c r="G350" i="12" s="1"/>
  <c r="G349" i="12" s="1"/>
  <c r="H352" i="12"/>
  <c r="N361" i="12"/>
  <c r="M359" i="12"/>
  <c r="O359" i="12" s="1"/>
  <c r="P385" i="12"/>
  <c r="P386" i="12"/>
  <c r="P395" i="12"/>
  <c r="H428" i="12"/>
  <c r="P382" i="12"/>
  <c r="N360" i="12"/>
  <c r="H359" i="12"/>
  <c r="H355" i="12" s="1"/>
  <c r="O392" i="12"/>
  <c r="L391" i="12"/>
  <c r="O391" i="12" s="1"/>
  <c r="O409" i="12"/>
  <c r="P409" i="12" s="1"/>
  <c r="L406" i="12"/>
  <c r="L427" i="12"/>
  <c r="L411" i="12" s="1"/>
  <c r="M435" i="12"/>
  <c r="M431" i="12" s="1"/>
  <c r="O431" i="12" s="1"/>
  <c r="G431" i="12"/>
  <c r="H435" i="12"/>
  <c r="N392" i="12"/>
  <c r="N391" i="12" s="1"/>
  <c r="M366" i="12"/>
  <c r="M363" i="12" s="1"/>
  <c r="M362" i="12" s="1"/>
  <c r="O379" i="12"/>
  <c r="P379" i="12" s="1"/>
  <c r="F391" i="12"/>
  <c r="L399" i="12"/>
  <c r="O410" i="12"/>
  <c r="P410" i="12" s="1"/>
  <c r="N418" i="12"/>
  <c r="N413" i="12" s="1"/>
  <c r="N412" i="12" s="1"/>
  <c r="L421" i="12"/>
  <c r="O421" i="12" s="1"/>
  <c r="P421" i="12" s="1"/>
  <c r="M430" i="12"/>
  <c r="O430" i="12" s="1"/>
  <c r="M437" i="12"/>
  <c r="O437" i="12" s="1"/>
  <c r="M429" i="12"/>
  <c r="N367" i="12"/>
  <c r="N366" i="12" s="1"/>
  <c r="N363" i="12" s="1"/>
  <c r="N362" i="12" s="1"/>
  <c r="O412" i="12"/>
  <c r="I421" i="12"/>
  <c r="I411" i="12" s="1"/>
  <c r="I398" i="12" s="1"/>
  <c r="G436" i="12"/>
  <c r="H437" i="12"/>
  <c r="N437" i="12" s="1"/>
  <c r="M381" i="12"/>
  <c r="G208" i="11"/>
  <c r="G421" i="11"/>
  <c r="M74" i="12" l="1"/>
  <c r="N74" i="12" s="1"/>
  <c r="N73" i="12" s="1"/>
  <c r="G330" i="12"/>
  <c r="M330" i="12" s="1"/>
  <c r="H341" i="12"/>
  <c r="N341" i="12" s="1"/>
  <c r="H342" i="12"/>
  <c r="N343" i="12"/>
  <c r="N342" i="12" s="1"/>
  <c r="J17" i="12"/>
  <c r="J16" i="12" s="1"/>
  <c r="K139" i="12"/>
  <c r="K259" i="12"/>
  <c r="M307" i="12"/>
  <c r="O74" i="12"/>
  <c r="O200" i="12"/>
  <c r="P200" i="12" s="1"/>
  <c r="O413" i="12"/>
  <c r="P413" i="12" s="1"/>
  <c r="P360" i="12"/>
  <c r="O245" i="12"/>
  <c r="P245" i="12" s="1"/>
  <c r="G348" i="12"/>
  <c r="O388" i="12"/>
  <c r="P388" i="12" s="1"/>
  <c r="I259" i="12"/>
  <c r="I17" i="12" s="1"/>
  <c r="I16" i="12" s="1"/>
  <c r="F95" i="12"/>
  <c r="O86" i="12"/>
  <c r="P86" i="12" s="1"/>
  <c r="H95" i="12"/>
  <c r="O370" i="12"/>
  <c r="P370" i="12" s="1"/>
  <c r="N261" i="12"/>
  <c r="N260" i="12" s="1"/>
  <c r="G259" i="12"/>
  <c r="P223" i="12"/>
  <c r="L83" i="12"/>
  <c r="N19" i="12"/>
  <c r="O297" i="12"/>
  <c r="P297" i="12" s="1"/>
  <c r="P123" i="12"/>
  <c r="P131" i="12"/>
  <c r="M118" i="12"/>
  <c r="M95" i="12" s="1"/>
  <c r="P168" i="12"/>
  <c r="O75" i="12"/>
  <c r="P75" i="12" s="1"/>
  <c r="P161" i="12"/>
  <c r="P336" i="12"/>
  <c r="O201" i="12"/>
  <c r="P201" i="12" s="1"/>
  <c r="P120" i="12"/>
  <c r="P119" i="12"/>
  <c r="P437" i="12"/>
  <c r="G398" i="12"/>
  <c r="F348" i="12"/>
  <c r="O362" i="12"/>
  <c r="P362" i="12" s="1"/>
  <c r="P361" i="12"/>
  <c r="N307" i="12"/>
  <c r="O284" i="12"/>
  <c r="P284" i="12" s="1"/>
  <c r="L283" i="12"/>
  <c r="P285" i="12"/>
  <c r="O273" i="12"/>
  <c r="P273" i="12" s="1"/>
  <c r="M272" i="12"/>
  <c r="O272" i="12" s="1"/>
  <c r="P272" i="12" s="1"/>
  <c r="H261" i="12"/>
  <c r="H260" i="12" s="1"/>
  <c r="P266" i="12"/>
  <c r="P214" i="12"/>
  <c r="M159" i="12"/>
  <c r="M158" i="12" s="1"/>
  <c r="P164" i="12"/>
  <c r="N148" i="12"/>
  <c r="N147" i="12" s="1"/>
  <c r="P153" i="12"/>
  <c r="L49" i="12"/>
  <c r="O49" i="12" s="1"/>
  <c r="N18" i="12"/>
  <c r="M18" i="12"/>
  <c r="H18" i="12"/>
  <c r="M48" i="12"/>
  <c r="P391" i="12"/>
  <c r="P412" i="12"/>
  <c r="O363" i="12"/>
  <c r="P363" i="12" s="1"/>
  <c r="O221" i="12"/>
  <c r="O287" i="12"/>
  <c r="L286" i="12"/>
  <c r="O286" i="12" s="1"/>
  <c r="O44" i="12"/>
  <c r="P44" i="12" s="1"/>
  <c r="L41" i="12"/>
  <c r="O142" i="12"/>
  <c r="L141" i="12"/>
  <c r="H48" i="12"/>
  <c r="H39" i="12" s="1"/>
  <c r="L19" i="12"/>
  <c r="O20" i="12"/>
  <c r="P20" i="12" s="1"/>
  <c r="O381" i="12"/>
  <c r="M380" i="12"/>
  <c r="N381" i="12"/>
  <c r="N380" i="12" s="1"/>
  <c r="N368" i="12" s="1"/>
  <c r="P418" i="12"/>
  <c r="P392" i="12"/>
  <c r="P353" i="12"/>
  <c r="O435" i="12"/>
  <c r="M355" i="12"/>
  <c r="O355" i="12" s="1"/>
  <c r="N359" i="12"/>
  <c r="N355" i="12" s="1"/>
  <c r="O325" i="12"/>
  <c r="P325" i="12" s="1"/>
  <c r="L324" i="12"/>
  <c r="O352" i="12"/>
  <c r="P337" i="12"/>
  <c r="O298" i="12"/>
  <c r="P298" i="12" s="1"/>
  <c r="N289" i="12"/>
  <c r="N288" i="12" s="1"/>
  <c r="N287" i="12" s="1"/>
  <c r="N286" i="12" s="1"/>
  <c r="H288" i="12"/>
  <c r="H287" i="12" s="1"/>
  <c r="H286" i="12" s="1"/>
  <c r="H259" i="12" s="1"/>
  <c r="P233" i="12"/>
  <c r="N332" i="12"/>
  <c r="N331" i="12" s="1"/>
  <c r="N330" i="12" s="1"/>
  <c r="M213" i="12"/>
  <c r="O213" i="12" s="1"/>
  <c r="G212" i="12"/>
  <c r="H213" i="12"/>
  <c r="N213" i="12" s="1"/>
  <c r="L241" i="12"/>
  <c r="O242" i="12"/>
  <c r="P242" i="12" s="1"/>
  <c r="F139" i="12"/>
  <c r="L220" i="12"/>
  <c r="O143" i="12"/>
  <c r="P24" i="12"/>
  <c r="P60" i="12"/>
  <c r="L350" i="12"/>
  <c r="O351" i="12"/>
  <c r="G220" i="12"/>
  <c r="H220" i="12" s="1"/>
  <c r="H215" i="12" s="1"/>
  <c r="N215" i="12" s="1"/>
  <c r="H221" i="12"/>
  <c r="M221" i="12"/>
  <c r="M220" i="12" s="1"/>
  <c r="P232" i="12"/>
  <c r="O191" i="12"/>
  <c r="P191" i="12" s="1"/>
  <c r="L190" i="12"/>
  <c r="O190" i="12" s="1"/>
  <c r="P190" i="12" s="1"/>
  <c r="H142" i="12"/>
  <c r="H141" i="12" s="1"/>
  <c r="H140" i="12" s="1"/>
  <c r="N143" i="12"/>
  <c r="N142" i="12" s="1"/>
  <c r="N141" i="12" s="1"/>
  <c r="N140" i="12" s="1"/>
  <c r="P104" i="12"/>
  <c r="O59" i="12"/>
  <c r="P59" i="12" s="1"/>
  <c r="O333" i="12"/>
  <c r="P333" i="12" s="1"/>
  <c r="L332" i="12"/>
  <c r="O227" i="12"/>
  <c r="P227" i="12" s="1"/>
  <c r="L226" i="12"/>
  <c r="O226" i="12" s="1"/>
  <c r="P226" i="12" s="1"/>
  <c r="L261" i="12"/>
  <c r="O262" i="12"/>
  <c r="P262" i="12" s="1"/>
  <c r="M216" i="12"/>
  <c r="O216" i="12" s="1"/>
  <c r="K216" i="12"/>
  <c r="N216" i="12" s="1"/>
  <c r="O198" i="12"/>
  <c r="P198" i="12" s="1"/>
  <c r="L197" i="12"/>
  <c r="P132" i="12"/>
  <c r="N51" i="12"/>
  <c r="N50" i="12" s="1"/>
  <c r="P50" i="12" s="1"/>
  <c r="K50" i="12"/>
  <c r="K49" i="12" s="1"/>
  <c r="K48" i="12" s="1"/>
  <c r="K39" i="12" s="1"/>
  <c r="O91" i="12"/>
  <c r="P91" i="12" s="1"/>
  <c r="P109" i="12"/>
  <c r="H436" i="12"/>
  <c r="N436" i="12" s="1"/>
  <c r="M436" i="12"/>
  <c r="O436" i="12" s="1"/>
  <c r="P436" i="12" s="1"/>
  <c r="N430" i="12"/>
  <c r="P430" i="12" s="1"/>
  <c r="O399" i="12"/>
  <c r="P399" i="12" s="1"/>
  <c r="N435" i="12"/>
  <c r="N431" i="12" s="1"/>
  <c r="P431" i="12" s="1"/>
  <c r="H431" i="12"/>
  <c r="N428" i="12"/>
  <c r="N427" i="12" s="1"/>
  <c r="N411" i="12" s="1"/>
  <c r="H427" i="12"/>
  <c r="H411" i="12" s="1"/>
  <c r="P367" i="12"/>
  <c r="O308" i="12"/>
  <c r="P308" i="12" s="1"/>
  <c r="P338" i="12"/>
  <c r="L296" i="12"/>
  <c r="O296" i="12" s="1"/>
  <c r="P296" i="12" s="1"/>
  <c r="P234" i="12"/>
  <c r="H330" i="12"/>
  <c r="L275" i="12"/>
  <c r="O276" i="12"/>
  <c r="P276" i="12" s="1"/>
  <c r="L256" i="12"/>
  <c r="O257" i="12"/>
  <c r="P257" i="12" s="1"/>
  <c r="G215" i="12"/>
  <c r="M215" i="12" s="1"/>
  <c r="O215" i="12" s="1"/>
  <c r="O173" i="12"/>
  <c r="P222" i="12"/>
  <c r="P163" i="12"/>
  <c r="N129" i="12"/>
  <c r="P130" i="12"/>
  <c r="L107" i="12"/>
  <c r="O89" i="12"/>
  <c r="P89" i="12" s="1"/>
  <c r="M88" i="12"/>
  <c r="O42" i="12"/>
  <c r="P42" i="12" s="1"/>
  <c r="M41" i="12"/>
  <c r="M40" i="12" s="1"/>
  <c r="P160" i="12"/>
  <c r="L96" i="12"/>
  <c r="O97" i="12"/>
  <c r="P97" i="12" s="1"/>
  <c r="L25" i="12"/>
  <c r="O25" i="12" s="1"/>
  <c r="P25" i="12" s="1"/>
  <c r="O26" i="12"/>
  <c r="P26" i="12" s="1"/>
  <c r="P74" i="12"/>
  <c r="P105" i="12"/>
  <c r="M428" i="12"/>
  <c r="O429" i="12"/>
  <c r="P429" i="12" s="1"/>
  <c r="L405" i="12"/>
  <c r="O405" i="12" s="1"/>
  <c r="P405" i="12" s="1"/>
  <c r="O406" i="12"/>
  <c r="P406" i="12" s="1"/>
  <c r="O366" i="12"/>
  <c r="P366" i="12" s="1"/>
  <c r="H351" i="12"/>
  <c r="H350" i="12" s="1"/>
  <c r="H349" i="12" s="1"/>
  <c r="H348" i="12" s="1"/>
  <c r="N352" i="12"/>
  <c r="N351" i="12" s="1"/>
  <c r="N350" i="12" s="1"/>
  <c r="O343" i="12"/>
  <c r="L342" i="12"/>
  <c r="O342" i="12" s="1"/>
  <c r="L341" i="12"/>
  <c r="O341" i="12" s="1"/>
  <c r="P341" i="12" s="1"/>
  <c r="O172" i="12"/>
  <c r="L159" i="12"/>
  <c r="H172" i="12"/>
  <c r="H159" i="12" s="1"/>
  <c r="H158" i="12" s="1"/>
  <c r="N173" i="12"/>
  <c r="N172" i="12" s="1"/>
  <c r="N159" i="12" s="1"/>
  <c r="N158" i="12" s="1"/>
  <c r="O128" i="12"/>
  <c r="L118" i="12"/>
  <c r="O108" i="12"/>
  <c r="P108" i="12" s="1"/>
  <c r="L48" i="12"/>
  <c r="P23" i="12"/>
  <c r="M73" i="12" l="1"/>
  <c r="O73" i="12" s="1"/>
  <c r="P73" i="12" s="1"/>
  <c r="P342" i="12"/>
  <c r="P343" i="12"/>
  <c r="O118" i="12"/>
  <c r="N259" i="12"/>
  <c r="R259" i="12" s="1"/>
  <c r="K17" i="12"/>
  <c r="K16" i="12" s="1"/>
  <c r="M260" i="12"/>
  <c r="M259" i="12" s="1"/>
  <c r="P215" i="12"/>
  <c r="F17" i="12"/>
  <c r="F16" i="12" s="1"/>
  <c r="O275" i="12"/>
  <c r="P275" i="12" s="1"/>
  <c r="L260" i="12"/>
  <c r="H398" i="12"/>
  <c r="P355" i="12"/>
  <c r="P359" i="12"/>
  <c r="N349" i="12"/>
  <c r="N348" i="12" s="1"/>
  <c r="P289" i="12"/>
  <c r="P288" i="12"/>
  <c r="P287" i="12"/>
  <c r="O283" i="12"/>
  <c r="P283" i="12" s="1"/>
  <c r="L282" i="12"/>
  <c r="O282" i="12" s="1"/>
  <c r="P282" i="12" s="1"/>
  <c r="O48" i="12"/>
  <c r="M39" i="12"/>
  <c r="L158" i="12"/>
  <c r="O158" i="12" s="1"/>
  <c r="P158" i="12" s="1"/>
  <c r="O159" i="12"/>
  <c r="P159" i="12" s="1"/>
  <c r="O96" i="12"/>
  <c r="P96" i="12" s="1"/>
  <c r="O88" i="12"/>
  <c r="P88" i="12" s="1"/>
  <c r="M84" i="12"/>
  <c r="O197" i="12"/>
  <c r="P197" i="12" s="1"/>
  <c r="L196" i="12"/>
  <c r="P142" i="12"/>
  <c r="P173" i="12"/>
  <c r="L147" i="12"/>
  <c r="O147" i="12" s="1"/>
  <c r="P147" i="12" s="1"/>
  <c r="O148" i="12"/>
  <c r="P148" i="12" s="1"/>
  <c r="O261" i="12"/>
  <c r="P261" i="12" s="1"/>
  <c r="L331" i="12"/>
  <c r="O332" i="12"/>
  <c r="P332" i="12" s="1"/>
  <c r="L349" i="12"/>
  <c r="O350" i="12"/>
  <c r="P350" i="12" s="1"/>
  <c r="N220" i="12"/>
  <c r="O220" i="12"/>
  <c r="O19" i="12"/>
  <c r="P19" i="12" s="1"/>
  <c r="L18" i="12"/>
  <c r="P51" i="12"/>
  <c r="O41" i="12"/>
  <c r="P41" i="12" s="1"/>
  <c r="L40" i="12"/>
  <c r="N221" i="12"/>
  <c r="M212" i="12"/>
  <c r="H212" i="12"/>
  <c r="G196" i="12"/>
  <c r="G139" i="12" s="1"/>
  <c r="G17" i="12" s="1"/>
  <c r="G16" i="12" s="1"/>
  <c r="O380" i="12"/>
  <c r="P380" i="12" s="1"/>
  <c r="M368" i="12"/>
  <c r="O368" i="12" s="1"/>
  <c r="P368" i="12" s="1"/>
  <c r="M427" i="12"/>
  <c r="O428" i="12"/>
  <c r="P428" i="12" s="1"/>
  <c r="L106" i="12"/>
  <c r="O107" i="12"/>
  <c r="P107" i="12" s="1"/>
  <c r="O241" i="12"/>
  <c r="P241" i="12" s="1"/>
  <c r="L240" i="12"/>
  <c r="O240" i="12" s="1"/>
  <c r="P240" i="12" s="1"/>
  <c r="P352" i="12"/>
  <c r="P221" i="12"/>
  <c r="N398" i="12"/>
  <c r="P172" i="12"/>
  <c r="L398" i="12"/>
  <c r="P216" i="12"/>
  <c r="M349" i="12"/>
  <c r="P143" i="12"/>
  <c r="P213" i="12"/>
  <c r="O324" i="12"/>
  <c r="P324" i="12" s="1"/>
  <c r="L323" i="12"/>
  <c r="P435" i="12"/>
  <c r="P381" i="12"/>
  <c r="N49" i="12"/>
  <c r="O141" i="12"/>
  <c r="P141" i="12" s="1"/>
  <c r="L140" i="12"/>
  <c r="P286" i="12"/>
  <c r="N128" i="12"/>
  <c r="N118" i="12" s="1"/>
  <c r="N95" i="12" s="1"/>
  <c r="P129" i="12"/>
  <c r="O256" i="12"/>
  <c r="P256" i="12" s="1"/>
  <c r="L255" i="12"/>
  <c r="P351" i="12"/>
  <c r="G413" i="11"/>
  <c r="G414" i="11"/>
  <c r="O106" i="12" l="1"/>
  <c r="P106" i="12" s="1"/>
  <c r="L95" i="12"/>
  <c r="O95" i="12" s="1"/>
  <c r="P95" i="12" s="1"/>
  <c r="R49" i="12"/>
  <c r="N48" i="12"/>
  <c r="L139" i="12"/>
  <c r="O140" i="12"/>
  <c r="P140" i="12" s="1"/>
  <c r="O212" i="12"/>
  <c r="M196" i="12"/>
  <c r="M139" i="12" s="1"/>
  <c r="L39" i="12"/>
  <c r="O39" i="12" s="1"/>
  <c r="O40" i="12"/>
  <c r="P40" i="12" s="1"/>
  <c r="O349" i="12"/>
  <c r="P349" i="12" s="1"/>
  <c r="L348" i="12"/>
  <c r="O84" i="12"/>
  <c r="P84" i="12" s="1"/>
  <c r="M83" i="12"/>
  <c r="O323" i="12"/>
  <c r="P323" i="12" s="1"/>
  <c r="L307" i="12"/>
  <c r="O307" i="12" s="1"/>
  <c r="P307" i="12" s="1"/>
  <c r="M348" i="12"/>
  <c r="P118" i="12"/>
  <c r="P220" i="12"/>
  <c r="L259" i="12"/>
  <c r="O259" i="12" s="1"/>
  <c r="P259" i="12" s="1"/>
  <c r="O260" i="12"/>
  <c r="P260" i="12" s="1"/>
  <c r="P128" i="12"/>
  <c r="P49" i="12"/>
  <c r="O196" i="12"/>
  <c r="O255" i="12"/>
  <c r="P255" i="12" s="1"/>
  <c r="L250" i="12"/>
  <c r="O250" i="12" s="1"/>
  <c r="P250" i="12" s="1"/>
  <c r="O427" i="12"/>
  <c r="P427" i="12" s="1"/>
  <c r="M411" i="12"/>
  <c r="N212" i="12"/>
  <c r="N196" i="12" s="1"/>
  <c r="N139" i="12" s="1"/>
  <c r="H196" i="12"/>
  <c r="H139" i="12" s="1"/>
  <c r="H17" i="12" s="1"/>
  <c r="H16" i="12" s="1"/>
  <c r="O18" i="12"/>
  <c r="P18" i="12" s="1"/>
  <c r="L330" i="12"/>
  <c r="O330" i="12" s="1"/>
  <c r="P330" i="12" s="1"/>
  <c r="O331" i="12"/>
  <c r="P331" i="12" s="1"/>
  <c r="N383" i="11"/>
  <c r="L383" i="11"/>
  <c r="F383" i="11"/>
  <c r="P196" i="12" l="1"/>
  <c r="O348" i="12"/>
  <c r="P348" i="12" s="1"/>
  <c r="L17" i="12"/>
  <c r="L16" i="12" s="1"/>
  <c r="M17" i="12"/>
  <c r="O83" i="12"/>
  <c r="P83" i="12" s="1"/>
  <c r="M398" i="12"/>
  <c r="O398" i="12" s="1"/>
  <c r="P398" i="12" s="1"/>
  <c r="O411" i="12"/>
  <c r="P411" i="12" s="1"/>
  <c r="O139" i="12"/>
  <c r="P139" i="12" s="1"/>
  <c r="P212" i="12"/>
  <c r="N39" i="12"/>
  <c r="N17" i="12" s="1"/>
  <c r="N16" i="12" s="1"/>
  <c r="P48" i="12"/>
  <c r="H354" i="11"/>
  <c r="H355" i="11"/>
  <c r="M16" i="12" l="1"/>
  <c r="O16" i="12" s="1"/>
  <c r="P16" i="12" s="1"/>
  <c r="P39" i="12"/>
  <c r="O17" i="12"/>
  <c r="P17" i="12" s="1"/>
  <c r="G346" i="11"/>
  <c r="G279" i="11" l="1"/>
  <c r="G293" i="11"/>
  <c r="G285" i="11" l="1"/>
  <c r="G283" i="11"/>
  <c r="G268" i="11"/>
  <c r="J53" i="11" l="1"/>
  <c r="N408" i="11"/>
  <c r="N407" i="11"/>
  <c r="L407" i="11"/>
  <c r="L408" i="11"/>
  <c r="G362" i="11"/>
  <c r="H362" i="11"/>
  <c r="I362" i="11"/>
  <c r="J362" i="11"/>
  <c r="K362" i="11"/>
  <c r="L362" i="11"/>
  <c r="M362" i="11"/>
  <c r="N362" i="11"/>
  <c r="G370" i="11"/>
  <c r="H370" i="11"/>
  <c r="I370" i="11"/>
  <c r="J370" i="11"/>
  <c r="K370" i="11"/>
  <c r="L370" i="11"/>
  <c r="M370" i="11"/>
  <c r="N370" i="11"/>
  <c r="F370" i="11"/>
  <c r="F362" i="11"/>
  <c r="N354" i="11"/>
  <c r="L354" i="11"/>
  <c r="F215" i="11"/>
  <c r="F218" i="11"/>
  <c r="F216" i="11"/>
  <c r="G49" i="11"/>
  <c r="F49" i="11"/>
  <c r="I48" i="11"/>
  <c r="H48" i="11"/>
  <c r="G48" i="11"/>
  <c r="F48" i="11"/>
  <c r="I49" i="11"/>
  <c r="H49" i="11"/>
  <c r="N64" i="11"/>
  <c r="L64" i="11"/>
  <c r="G60" i="11"/>
  <c r="H414" i="11" l="1"/>
  <c r="L128" i="11"/>
  <c r="O128" i="11" s="1"/>
  <c r="P128" i="11" s="1"/>
  <c r="H113" i="11"/>
  <c r="N56" i="11"/>
  <c r="G55" i="11"/>
  <c r="H55" i="11"/>
  <c r="I55" i="11"/>
  <c r="J55" i="11"/>
  <c r="K55" i="11"/>
  <c r="L55" i="11"/>
  <c r="M55" i="11"/>
  <c r="N55" i="11"/>
  <c r="F55" i="11"/>
  <c r="H56" i="11"/>
  <c r="H51" i="11"/>
  <c r="O18" i="11"/>
  <c r="P18" i="11" s="1"/>
  <c r="O19" i="11"/>
  <c r="P19" i="11" s="1"/>
  <c r="O20" i="11"/>
  <c r="P20" i="11"/>
  <c r="O21" i="11"/>
  <c r="P21" i="11" s="1"/>
  <c r="O22" i="11"/>
  <c r="P22" i="11" s="1"/>
  <c r="O23" i="11"/>
  <c r="P23" i="11" s="1"/>
  <c r="O24" i="11"/>
  <c r="P24" i="11"/>
  <c r="O25" i="11"/>
  <c r="P25" i="11" s="1"/>
  <c r="O26" i="11"/>
  <c r="P26" i="11" s="1"/>
  <c r="O27" i="11"/>
  <c r="P27" i="11" s="1"/>
  <c r="O28" i="11"/>
  <c r="P28" i="11"/>
  <c r="O29" i="11"/>
  <c r="P29" i="11" s="1"/>
  <c r="O30" i="11"/>
  <c r="P30" i="11" s="1"/>
  <c r="O31" i="11"/>
  <c r="P31" i="11" s="1"/>
  <c r="O32" i="11"/>
  <c r="P32" i="11"/>
  <c r="O33" i="11"/>
  <c r="P33" i="11" s="1"/>
  <c r="O34" i="11"/>
  <c r="P34" i="11" s="1"/>
  <c r="O35" i="11"/>
  <c r="P35" i="11" s="1"/>
  <c r="O36" i="11"/>
  <c r="P36" i="11"/>
  <c r="O37" i="11"/>
  <c r="P37" i="11" s="1"/>
  <c r="O38" i="11"/>
  <c r="P38" i="11" s="1"/>
  <c r="O40" i="11"/>
  <c r="P40" i="11"/>
  <c r="O41" i="11"/>
  <c r="P41" i="11" s="1"/>
  <c r="O42" i="11"/>
  <c r="P42" i="11" s="1"/>
  <c r="O43" i="11"/>
  <c r="P43" i="11" s="1"/>
  <c r="O44" i="11"/>
  <c r="P44" i="11"/>
  <c r="O45" i="11"/>
  <c r="P45" i="11" s="1"/>
  <c r="O46" i="11"/>
  <c r="P46" i="11" s="1"/>
  <c r="O47" i="11"/>
  <c r="P47" i="11" s="1"/>
  <c r="O51" i="11"/>
  <c r="O52" i="11"/>
  <c r="P52" i="11"/>
  <c r="O54" i="11"/>
  <c r="P54" i="11" s="1"/>
  <c r="O56" i="11"/>
  <c r="P56" i="11"/>
  <c r="O57" i="11"/>
  <c r="P57" i="11" s="1"/>
  <c r="O58" i="11"/>
  <c r="P58" i="11" s="1"/>
  <c r="O59" i="11"/>
  <c r="O60" i="11"/>
  <c r="O61" i="11"/>
  <c r="P61" i="11" s="1"/>
  <c r="O62" i="11"/>
  <c r="P62" i="11" s="1"/>
  <c r="O64" i="11"/>
  <c r="P64" i="11" s="1"/>
  <c r="O65" i="11"/>
  <c r="P65" i="11" s="1"/>
  <c r="O66" i="11"/>
  <c r="P66" i="11" s="1"/>
  <c r="O67" i="11"/>
  <c r="P67" i="11" s="1"/>
  <c r="O68" i="11"/>
  <c r="P68" i="11"/>
  <c r="O69" i="11"/>
  <c r="P69" i="11" s="1"/>
  <c r="O70" i="11"/>
  <c r="P70" i="11" s="1"/>
  <c r="O71" i="11"/>
  <c r="P71" i="11" s="1"/>
  <c r="O72" i="11"/>
  <c r="P72" i="11"/>
  <c r="O73" i="11"/>
  <c r="P73" i="11" s="1"/>
  <c r="O74" i="11"/>
  <c r="P74" i="11" s="1"/>
  <c r="O75" i="11"/>
  <c r="P75" i="11" s="1"/>
  <c r="O76" i="11"/>
  <c r="P76" i="11"/>
  <c r="O77" i="11"/>
  <c r="P77" i="11" s="1"/>
  <c r="O78" i="11"/>
  <c r="P78" i="11" s="1"/>
  <c r="O79" i="11"/>
  <c r="P79" i="11" s="1"/>
  <c r="O80" i="11"/>
  <c r="P80" i="11"/>
  <c r="O81" i="11"/>
  <c r="P81" i="11" s="1"/>
  <c r="O82" i="11"/>
  <c r="P82" i="11" s="1"/>
  <c r="O83" i="11"/>
  <c r="P83" i="11" s="1"/>
  <c r="O84" i="11"/>
  <c r="P84" i="11"/>
  <c r="O85" i="11"/>
  <c r="P85" i="11" s="1"/>
  <c r="O86" i="11"/>
  <c r="P86" i="11" s="1"/>
  <c r="O87" i="11"/>
  <c r="P87" i="11" s="1"/>
  <c r="O88" i="11"/>
  <c r="P88" i="11"/>
  <c r="O89" i="11"/>
  <c r="P89" i="11" s="1"/>
  <c r="O90" i="11"/>
  <c r="P90" i="11" s="1"/>
  <c r="O94" i="11"/>
  <c r="P94" i="11" s="1"/>
  <c r="O95" i="11"/>
  <c r="P95" i="11" s="1"/>
  <c r="O97" i="11"/>
  <c r="O98" i="11"/>
  <c r="P98" i="11" s="1"/>
  <c r="O99" i="11"/>
  <c r="P99" i="11" s="1"/>
  <c r="O100" i="11"/>
  <c r="P100" i="11"/>
  <c r="O101" i="11"/>
  <c r="P101" i="11" s="1"/>
  <c r="O102" i="11"/>
  <c r="O103" i="11"/>
  <c r="P103" i="11" s="1"/>
  <c r="O104" i="11"/>
  <c r="P104" i="11"/>
  <c r="O105" i="11"/>
  <c r="P105" i="11" s="1"/>
  <c r="O106" i="11"/>
  <c r="P106" i="11" s="1"/>
  <c r="O107" i="11"/>
  <c r="P107" i="11" s="1"/>
  <c r="O108" i="11"/>
  <c r="P108" i="11"/>
  <c r="O109" i="11"/>
  <c r="P109" i="11" s="1"/>
  <c r="O110" i="11"/>
  <c r="P110" i="11" s="1"/>
  <c r="O111" i="11"/>
  <c r="O112" i="11"/>
  <c r="O113" i="11"/>
  <c r="O114" i="11"/>
  <c r="P114" i="11" s="1"/>
  <c r="O115" i="11"/>
  <c r="P115" i="11" s="1"/>
  <c r="O116" i="11"/>
  <c r="P116" i="11"/>
  <c r="O117" i="11"/>
  <c r="P117" i="11" s="1"/>
  <c r="O118" i="11"/>
  <c r="P118" i="11" s="1"/>
  <c r="O119" i="11"/>
  <c r="P119" i="11" s="1"/>
  <c r="O120" i="11"/>
  <c r="P120" i="11"/>
  <c r="O121" i="11"/>
  <c r="P121" i="11" s="1"/>
  <c r="O122" i="11"/>
  <c r="P122" i="11" s="1"/>
  <c r="O123" i="11"/>
  <c r="P123" i="11" s="1"/>
  <c r="O124" i="11"/>
  <c r="P124" i="11"/>
  <c r="O125" i="11"/>
  <c r="P125" i="11" s="1"/>
  <c r="O126" i="11"/>
  <c r="P126" i="11" s="1"/>
  <c r="O127" i="11"/>
  <c r="P127" i="11" s="1"/>
  <c r="O129" i="11"/>
  <c r="P129" i="11" s="1"/>
  <c r="O130" i="11"/>
  <c r="P130" i="11" s="1"/>
  <c r="O131" i="11"/>
  <c r="P131" i="11" s="1"/>
  <c r="O132" i="11"/>
  <c r="P132" i="11"/>
  <c r="O133" i="11"/>
  <c r="P133" i="11" s="1"/>
  <c r="O134" i="11"/>
  <c r="P134" i="11" s="1"/>
  <c r="O136" i="11"/>
  <c r="P136" i="11"/>
  <c r="O137" i="11"/>
  <c r="P137" i="11" s="1"/>
  <c r="O138" i="11"/>
  <c r="P138" i="11" s="1"/>
  <c r="O139" i="11"/>
  <c r="P139" i="11" s="1"/>
  <c r="O140" i="11"/>
  <c r="P140" i="11"/>
  <c r="O141" i="11"/>
  <c r="P141" i="11" s="1"/>
  <c r="O142" i="11"/>
  <c r="P142" i="11" s="1"/>
  <c r="O145" i="11"/>
  <c r="P145" i="11" s="1"/>
  <c r="O146" i="11"/>
  <c r="P146" i="11" s="1"/>
  <c r="O147" i="11"/>
  <c r="P147" i="11" s="1"/>
  <c r="O150" i="11"/>
  <c r="P150" i="11" s="1"/>
  <c r="O151" i="11"/>
  <c r="P151" i="11" s="1"/>
  <c r="O152" i="11"/>
  <c r="P152" i="11"/>
  <c r="O153" i="11"/>
  <c r="P153" i="11" s="1"/>
  <c r="O154" i="11"/>
  <c r="P154" i="11" s="1"/>
  <c r="O155" i="11"/>
  <c r="P155" i="11" s="1"/>
  <c r="O156" i="11"/>
  <c r="P156" i="11"/>
  <c r="O157" i="11"/>
  <c r="P157" i="11" s="1"/>
  <c r="O158" i="11"/>
  <c r="P158" i="11" s="1"/>
  <c r="O159" i="11"/>
  <c r="P159" i="11" s="1"/>
  <c r="O160" i="11"/>
  <c r="P160" i="11"/>
  <c r="O161" i="11"/>
  <c r="P161" i="11" s="1"/>
  <c r="O162" i="11"/>
  <c r="P162" i="11" s="1"/>
  <c r="O163" i="11"/>
  <c r="P163" i="11" s="1"/>
  <c r="O164" i="11"/>
  <c r="P164" i="11"/>
  <c r="O165" i="11"/>
  <c r="P165" i="11" s="1"/>
  <c r="O166" i="11"/>
  <c r="P166" i="11" s="1"/>
  <c r="O167" i="11"/>
  <c r="P167" i="11" s="1"/>
  <c r="O168" i="11"/>
  <c r="P168" i="11"/>
  <c r="O169" i="11"/>
  <c r="P169" i="11" s="1"/>
  <c r="O170" i="11"/>
  <c r="P170" i="11" s="1"/>
  <c r="O171" i="11"/>
  <c r="P171" i="11" s="1"/>
  <c r="O172" i="11"/>
  <c r="P172" i="11"/>
  <c r="O173" i="11"/>
  <c r="P173" i="11" s="1"/>
  <c r="O174" i="11"/>
  <c r="P174" i="11" s="1"/>
  <c r="O175" i="11"/>
  <c r="P175" i="11" s="1"/>
  <c r="O176" i="11"/>
  <c r="P176" i="11"/>
  <c r="O177" i="11"/>
  <c r="P177" i="11" s="1"/>
  <c r="O178" i="11"/>
  <c r="P178" i="11" s="1"/>
  <c r="O179" i="11"/>
  <c r="P179" i="11" s="1"/>
  <c r="O180" i="11"/>
  <c r="P180" i="11"/>
  <c r="O181" i="11"/>
  <c r="P181" i="11" s="1"/>
  <c r="O182" i="11"/>
  <c r="P182" i="11" s="1"/>
  <c r="O183" i="11"/>
  <c r="P183" i="11" s="1"/>
  <c r="O184" i="11"/>
  <c r="P184" i="11"/>
  <c r="O185" i="11"/>
  <c r="P185" i="11" s="1"/>
  <c r="O188" i="11"/>
  <c r="P188" i="11" s="1"/>
  <c r="O189" i="11"/>
  <c r="P189" i="11" s="1"/>
  <c r="O193" i="11"/>
  <c r="P193" i="11" s="1"/>
  <c r="O194" i="11"/>
  <c r="P194" i="11" s="1"/>
  <c r="O195" i="11"/>
  <c r="P195" i="11" s="1"/>
  <c r="O196" i="11"/>
  <c r="P196" i="11" s="1"/>
  <c r="O197" i="11"/>
  <c r="P197" i="11" s="1"/>
  <c r="O198" i="11"/>
  <c r="P198" i="11" s="1"/>
  <c r="O199" i="11"/>
  <c r="P199" i="11" s="1"/>
  <c r="O200" i="11"/>
  <c r="P200" i="11" s="1"/>
  <c r="O201" i="11"/>
  <c r="P201" i="11" s="1"/>
  <c r="O202" i="11"/>
  <c r="P202" i="11" s="1"/>
  <c r="O203" i="11"/>
  <c r="P203" i="11" s="1"/>
  <c r="O204" i="11"/>
  <c r="P204" i="11" s="1"/>
  <c r="O205" i="11"/>
  <c r="P205" i="11" s="1"/>
  <c r="O210" i="11"/>
  <c r="P210" i="11" s="1"/>
  <c r="O211" i="11"/>
  <c r="P211" i="11" s="1"/>
  <c r="O212" i="11"/>
  <c r="P212" i="11" s="1"/>
  <c r="O213" i="11"/>
  <c r="P213" i="11" s="1"/>
  <c r="O220" i="11"/>
  <c r="P220" i="11" s="1"/>
  <c r="O221" i="11"/>
  <c r="P221" i="11" s="1"/>
  <c r="O222" i="11"/>
  <c r="P222" i="11" s="1"/>
  <c r="O223" i="11"/>
  <c r="P223" i="11" s="1"/>
  <c r="O224" i="11"/>
  <c r="P224" i="11" s="1"/>
  <c r="O225" i="11"/>
  <c r="P225" i="11" s="1"/>
  <c r="O226" i="11"/>
  <c r="P226" i="11" s="1"/>
  <c r="O227" i="11"/>
  <c r="P227" i="11" s="1"/>
  <c r="O228" i="11"/>
  <c r="P228" i="11" s="1"/>
  <c r="O229" i="11"/>
  <c r="P229" i="11" s="1"/>
  <c r="O230" i="11"/>
  <c r="P230" i="11" s="1"/>
  <c r="O231" i="11"/>
  <c r="P231" i="11" s="1"/>
  <c r="O232" i="11"/>
  <c r="P232" i="11" s="1"/>
  <c r="O233" i="11"/>
  <c r="P233" i="11" s="1"/>
  <c r="O234" i="11"/>
  <c r="P234" i="11" s="1"/>
  <c r="O235" i="11"/>
  <c r="P235" i="11" s="1"/>
  <c r="O236" i="11"/>
  <c r="P236" i="11" s="1"/>
  <c r="O237" i="11"/>
  <c r="P237" i="11" s="1"/>
  <c r="O238" i="11"/>
  <c r="P238" i="11" s="1"/>
  <c r="O239" i="11"/>
  <c r="P239" i="11" s="1"/>
  <c r="O240" i="11"/>
  <c r="P240" i="11" s="1"/>
  <c r="O241" i="11"/>
  <c r="P241" i="11" s="1"/>
  <c r="O242" i="11"/>
  <c r="P242" i="11" s="1"/>
  <c r="O243" i="11"/>
  <c r="P243" i="11" s="1"/>
  <c r="O244" i="11"/>
  <c r="P244" i="11" s="1"/>
  <c r="O245" i="11"/>
  <c r="P245" i="11" s="1"/>
  <c r="O246" i="11"/>
  <c r="P246" i="11" s="1"/>
  <c r="O247" i="11"/>
  <c r="P247" i="11" s="1"/>
  <c r="O248" i="11"/>
  <c r="P248" i="11" s="1"/>
  <c r="O249" i="11"/>
  <c r="P249" i="11" s="1"/>
  <c r="O250" i="11"/>
  <c r="P250" i="11" s="1"/>
  <c r="O251" i="11"/>
  <c r="P251" i="11" s="1"/>
  <c r="O252" i="11"/>
  <c r="P252" i="11" s="1"/>
  <c r="O255" i="11"/>
  <c r="P255" i="11" s="1"/>
  <c r="O256" i="11"/>
  <c r="P256" i="11" s="1"/>
  <c r="O257" i="11"/>
  <c r="P257" i="11" s="1"/>
  <c r="O258" i="11"/>
  <c r="P258" i="11" s="1"/>
  <c r="O259" i="11"/>
  <c r="P259" i="11" s="1"/>
  <c r="O260" i="11"/>
  <c r="P260" i="11" s="1"/>
  <c r="O261" i="11"/>
  <c r="P261" i="11" s="1"/>
  <c r="O262" i="11"/>
  <c r="P262" i="11" s="1"/>
  <c r="O263" i="11"/>
  <c r="P263" i="11" s="1"/>
  <c r="O264" i="11"/>
  <c r="P264" i="11" s="1"/>
  <c r="O265" i="11"/>
  <c r="P265" i="11" s="1"/>
  <c r="O266" i="11"/>
  <c r="O269" i="11"/>
  <c r="P269" i="11" s="1"/>
  <c r="O270" i="11"/>
  <c r="P270" i="11" s="1"/>
  <c r="O271" i="11"/>
  <c r="P271" i="11" s="1"/>
  <c r="O272" i="11"/>
  <c r="P272" i="11" s="1"/>
  <c r="O273" i="11"/>
  <c r="P273" i="11" s="1"/>
  <c r="O274" i="11"/>
  <c r="P274" i="11" s="1"/>
  <c r="O275" i="11"/>
  <c r="P275" i="11" s="1"/>
  <c r="O276" i="11"/>
  <c r="P276" i="11" s="1"/>
  <c r="O279" i="11"/>
  <c r="P279" i="11" s="1"/>
  <c r="O285" i="11"/>
  <c r="O286" i="11"/>
  <c r="P286" i="11" s="1"/>
  <c r="O287" i="11"/>
  <c r="P287" i="11" s="1"/>
  <c r="O288" i="11"/>
  <c r="P288" i="11" s="1"/>
  <c r="O289" i="11"/>
  <c r="P289" i="11" s="1"/>
  <c r="O294" i="11"/>
  <c r="P294" i="11" s="1"/>
  <c r="O295" i="11"/>
  <c r="P295" i="11" s="1"/>
  <c r="O296" i="11"/>
  <c r="P296" i="11" s="1"/>
  <c r="O297" i="11"/>
  <c r="P297" i="11" s="1"/>
  <c r="O298" i="11"/>
  <c r="P298" i="11" s="1"/>
  <c r="O299" i="11"/>
  <c r="P299" i="11" s="1"/>
  <c r="O300" i="11"/>
  <c r="P300" i="11" s="1"/>
  <c r="O301" i="11"/>
  <c r="P301" i="11" s="1"/>
  <c r="O302" i="11"/>
  <c r="P302" i="11" s="1"/>
  <c r="O303" i="11"/>
  <c r="P303" i="11"/>
  <c r="O304" i="11"/>
  <c r="P304" i="11" s="1"/>
  <c r="O305" i="11"/>
  <c r="P305" i="11" s="1"/>
  <c r="O306" i="11"/>
  <c r="P306" i="11" s="1"/>
  <c r="O307" i="11"/>
  <c r="P307" i="11"/>
  <c r="O308" i="11"/>
  <c r="P308" i="11" s="1"/>
  <c r="O309" i="11"/>
  <c r="P309" i="11"/>
  <c r="O310" i="11"/>
  <c r="P310" i="11" s="1"/>
  <c r="O311" i="11"/>
  <c r="P311" i="11"/>
  <c r="O312" i="11"/>
  <c r="P312" i="11" s="1"/>
  <c r="O313" i="11"/>
  <c r="P313" i="11" s="1"/>
  <c r="O314" i="11"/>
  <c r="P314" i="11"/>
  <c r="O315" i="11"/>
  <c r="P315" i="11" s="1"/>
  <c r="O316" i="11"/>
  <c r="P316" i="11"/>
  <c r="O317" i="11"/>
  <c r="P317" i="11" s="1"/>
  <c r="O318" i="11"/>
  <c r="P318" i="11"/>
  <c r="O319" i="11"/>
  <c r="P319" i="11" s="1"/>
  <c r="O320" i="11"/>
  <c r="P320" i="11"/>
  <c r="O321" i="11"/>
  <c r="P321" i="11" s="1"/>
  <c r="O322" i="11"/>
  <c r="P322" i="11"/>
  <c r="O323" i="11"/>
  <c r="P323" i="11" s="1"/>
  <c r="O324" i="11"/>
  <c r="P324" i="11"/>
  <c r="O325" i="11"/>
  <c r="P325" i="11" s="1"/>
  <c r="O326" i="11"/>
  <c r="P326" i="11"/>
  <c r="O327" i="11"/>
  <c r="P327" i="11" s="1"/>
  <c r="O328" i="11"/>
  <c r="P328" i="11"/>
  <c r="O329" i="11"/>
  <c r="P329" i="11" s="1"/>
  <c r="O330" i="11"/>
  <c r="P330" i="11"/>
  <c r="O331" i="11"/>
  <c r="P331" i="11" s="1"/>
  <c r="O332" i="11"/>
  <c r="P332" i="11"/>
  <c r="O333" i="11"/>
  <c r="P333" i="11" s="1"/>
  <c r="O334" i="11"/>
  <c r="P334" i="11"/>
  <c r="O335" i="11"/>
  <c r="P335" i="11" s="1"/>
  <c r="O336" i="11"/>
  <c r="P336" i="11"/>
  <c r="O337" i="11"/>
  <c r="P337" i="11" s="1"/>
  <c r="O338" i="11"/>
  <c r="P338" i="11"/>
  <c r="O339" i="11"/>
  <c r="P339" i="11" s="1"/>
  <c r="O340" i="11"/>
  <c r="P340" i="11"/>
  <c r="O341" i="11"/>
  <c r="P341" i="11" s="1"/>
  <c r="O347" i="11"/>
  <c r="P347" i="11" s="1"/>
  <c r="O348" i="11"/>
  <c r="P348" i="11"/>
  <c r="O350" i="11"/>
  <c r="P350" i="11"/>
  <c r="O351" i="11"/>
  <c r="P351" i="11" s="1"/>
  <c r="O352" i="11"/>
  <c r="P352" i="11"/>
  <c r="O358" i="11"/>
  <c r="P358" i="11"/>
  <c r="O359" i="11"/>
  <c r="P359" i="11" s="1"/>
  <c r="O363" i="11"/>
  <c r="P363" i="11" s="1"/>
  <c r="O364" i="11"/>
  <c r="P364" i="11"/>
  <c r="O365" i="11"/>
  <c r="P365" i="11" s="1"/>
  <c r="O366" i="11"/>
  <c r="P366" i="11"/>
  <c r="O367" i="11"/>
  <c r="P367" i="11" s="1"/>
  <c r="O368" i="11"/>
  <c r="P368" i="11"/>
  <c r="O369" i="11"/>
  <c r="P369" i="11" s="1"/>
  <c r="O370" i="11"/>
  <c r="P370" i="11"/>
  <c r="O371" i="11"/>
  <c r="P371" i="11" s="1"/>
  <c r="O372" i="11"/>
  <c r="P372" i="11"/>
  <c r="O373" i="11"/>
  <c r="P373" i="11" s="1"/>
  <c r="O375" i="11"/>
  <c r="P375" i="11" s="1"/>
  <c r="O376" i="11"/>
  <c r="P376" i="11"/>
  <c r="O377" i="11"/>
  <c r="P377" i="11" s="1"/>
  <c r="O378" i="11"/>
  <c r="P378" i="11"/>
  <c r="O379" i="11"/>
  <c r="P379" i="11" s="1"/>
  <c r="O380" i="11"/>
  <c r="P380" i="11"/>
  <c r="O385" i="11"/>
  <c r="P385" i="11" s="1"/>
  <c r="O386" i="11"/>
  <c r="P386" i="11"/>
  <c r="O387" i="11"/>
  <c r="P387" i="11" s="1"/>
  <c r="O389" i="11"/>
  <c r="P389" i="11" s="1"/>
  <c r="O390" i="11"/>
  <c r="P390" i="11"/>
  <c r="O391" i="11"/>
  <c r="P391" i="11" s="1"/>
  <c r="O392" i="11"/>
  <c r="P392" i="11"/>
  <c r="O393" i="11"/>
  <c r="P393" i="11" s="1"/>
  <c r="O394" i="11"/>
  <c r="P394" i="11"/>
  <c r="O395" i="11"/>
  <c r="P395" i="11" s="1"/>
  <c r="O396" i="11"/>
  <c r="P396" i="11"/>
  <c r="O397" i="11"/>
  <c r="P397" i="11" s="1"/>
  <c r="O398" i="11"/>
  <c r="P398" i="11"/>
  <c r="O400" i="11"/>
  <c r="P400" i="11"/>
  <c r="O401" i="11"/>
  <c r="P401" i="11" s="1"/>
  <c r="O402" i="11"/>
  <c r="P402" i="11"/>
  <c r="O403" i="11"/>
  <c r="P403" i="11" s="1"/>
  <c r="O404" i="11"/>
  <c r="P404" i="11"/>
  <c r="O407" i="11"/>
  <c r="P407" i="11" s="1"/>
  <c r="O408" i="11"/>
  <c r="P408" i="11" s="1"/>
  <c r="O409" i="11"/>
  <c r="P409" i="11" s="1"/>
  <c r="O410" i="11"/>
  <c r="P410" i="11"/>
  <c r="O416" i="11"/>
  <c r="P416" i="11"/>
  <c r="O417" i="11"/>
  <c r="P417" i="11" s="1"/>
  <c r="O418" i="11"/>
  <c r="P418" i="11"/>
  <c r="O422" i="11"/>
  <c r="P422" i="11"/>
  <c r="O423" i="11"/>
  <c r="P423" i="11" s="1"/>
  <c r="O424" i="11"/>
  <c r="P424" i="11"/>
  <c r="O425" i="11"/>
  <c r="P425" i="11" s="1"/>
  <c r="O426" i="11"/>
  <c r="P426" i="11"/>
  <c r="O427" i="11"/>
  <c r="P427" i="11" s="1"/>
  <c r="O428" i="11"/>
  <c r="P428" i="11"/>
  <c r="O429" i="11"/>
  <c r="P429" i="11" s="1"/>
  <c r="O430" i="11"/>
  <c r="P430" i="11"/>
  <c r="O431" i="11"/>
  <c r="P431" i="11" s="1"/>
  <c r="O432" i="11"/>
  <c r="P432" i="11"/>
  <c r="O433" i="11"/>
  <c r="P433" i="11" s="1"/>
  <c r="O434" i="11"/>
  <c r="P434" i="11"/>
  <c r="O435" i="11"/>
  <c r="P435" i="11" s="1"/>
  <c r="O436" i="11"/>
  <c r="P436" i="11"/>
  <c r="O437" i="11"/>
  <c r="P437" i="11" s="1"/>
  <c r="O438" i="11"/>
  <c r="P438" i="11"/>
  <c r="O439" i="11"/>
  <c r="P439" i="11" s="1"/>
  <c r="O440" i="11"/>
  <c r="P440" i="11"/>
  <c r="O441" i="11"/>
  <c r="P441" i="11" s="1"/>
  <c r="O442" i="11"/>
  <c r="P442" i="11"/>
  <c r="O443" i="11"/>
  <c r="P443" i="11" s="1"/>
  <c r="O444" i="11"/>
  <c r="P444" i="11"/>
  <c r="O445" i="11"/>
  <c r="P445" i="11" s="1"/>
  <c r="O446" i="11"/>
  <c r="P446" i="11"/>
  <c r="O447" i="11"/>
  <c r="P447" i="11" s="1"/>
  <c r="O448" i="11"/>
  <c r="P448" i="11"/>
  <c r="O449" i="11"/>
  <c r="P449" i="11" s="1"/>
  <c r="O450" i="11"/>
  <c r="P450" i="11"/>
  <c r="O451" i="11"/>
  <c r="P451" i="11" s="1"/>
  <c r="O452" i="11"/>
  <c r="P452" i="11"/>
  <c r="O453" i="11"/>
  <c r="P453" i="11" s="1"/>
  <c r="M136" i="11"/>
  <c r="H60" i="11"/>
  <c r="H59" i="11" s="1"/>
  <c r="H262" i="11"/>
  <c r="G262" i="11"/>
  <c r="G255" i="11"/>
  <c r="G254" i="11" s="1"/>
  <c r="K139" i="11"/>
  <c r="J136" i="11"/>
  <c r="J137" i="11"/>
  <c r="J138" i="11"/>
  <c r="J51" i="11"/>
  <c r="K51" i="11" s="1"/>
  <c r="N51" i="11" s="1"/>
  <c r="K53" i="11"/>
  <c r="M53" i="11"/>
  <c r="O53" i="11" s="1"/>
  <c r="M51" i="11"/>
  <c r="L51" i="11"/>
  <c r="H365" i="11"/>
  <c r="H366" i="11"/>
  <c r="G347" i="11"/>
  <c r="H279" i="11"/>
  <c r="H263" i="11"/>
  <c r="H237" i="11"/>
  <c r="N237" i="11"/>
  <c r="N236" i="11" s="1"/>
  <c r="N235" i="11" s="1"/>
  <c r="N234" i="11" s="1"/>
  <c r="N189" i="11"/>
  <c r="M189" i="11"/>
  <c r="L189" i="11"/>
  <c r="H189" i="11"/>
  <c r="G169" i="11"/>
  <c r="G157" i="11"/>
  <c r="H149" i="11"/>
  <c r="H148" i="11" s="1"/>
  <c r="N145" i="11"/>
  <c r="N146" i="11"/>
  <c r="M146" i="11"/>
  <c r="M145" i="11" s="1"/>
  <c r="J139" i="11"/>
  <c r="M139" i="11"/>
  <c r="M138" i="11" s="1"/>
  <c r="M137" i="11" s="1"/>
  <c r="G139" i="11"/>
  <c r="J105" i="11"/>
  <c r="G105" i="11"/>
  <c r="G104" i="11"/>
  <c r="N90" i="11"/>
  <c r="N89" i="11" s="1"/>
  <c r="N88" i="11" s="1"/>
  <c r="N87" i="11" s="1"/>
  <c r="M90" i="11"/>
  <c r="H90" i="11"/>
  <c r="G57" i="11"/>
  <c r="M57" i="11" s="1"/>
  <c r="G24" i="11"/>
  <c r="G23" i="11" s="1"/>
  <c r="G19" i="11" s="1"/>
  <c r="M421" i="11"/>
  <c r="O421" i="11" s="1"/>
  <c r="L421" i="11"/>
  <c r="H421" i="11"/>
  <c r="N421" i="11" s="1"/>
  <c r="L420" i="11"/>
  <c r="G420" i="11"/>
  <c r="L419" i="11"/>
  <c r="G419" i="11"/>
  <c r="I417" i="11"/>
  <c r="N416" i="11"/>
  <c r="I416" i="11"/>
  <c r="F416" i="11"/>
  <c r="L415" i="11"/>
  <c r="I415" i="11"/>
  <c r="F415" i="11"/>
  <c r="M414" i="11"/>
  <c r="L414" i="11"/>
  <c r="M413" i="11"/>
  <c r="O413" i="11" s="1"/>
  <c r="P413" i="11" s="1"/>
  <c r="L413" i="11"/>
  <c r="H413" i="11"/>
  <c r="N413" i="11" s="1"/>
  <c r="K412" i="11"/>
  <c r="I412" i="11"/>
  <c r="G412" i="11"/>
  <c r="G411" i="11" s="1"/>
  <c r="G399" i="11" s="1"/>
  <c r="F412" i="11"/>
  <c r="L412" i="11" s="1"/>
  <c r="L411" i="11" s="1"/>
  <c r="K411" i="11"/>
  <c r="J411" i="11"/>
  <c r="I411" i="11"/>
  <c r="F411" i="11"/>
  <c r="N409" i="11"/>
  <c r="M409" i="11"/>
  <c r="L409" i="11"/>
  <c r="K409" i="11"/>
  <c r="I409" i="11"/>
  <c r="I405" i="11" s="1"/>
  <c r="H409" i="11"/>
  <c r="G409" i="11"/>
  <c r="F409" i="11"/>
  <c r="M408" i="11"/>
  <c r="M407" i="11"/>
  <c r="N406" i="11"/>
  <c r="L406" i="11"/>
  <c r="O406" i="11" s="1"/>
  <c r="I406" i="11"/>
  <c r="K406" i="11" s="1"/>
  <c r="M405" i="11"/>
  <c r="K405" i="11"/>
  <c r="K399" i="11" s="1"/>
  <c r="H405" i="11"/>
  <c r="G405" i="11"/>
  <c r="F405" i="11"/>
  <c r="F399" i="11" s="1"/>
  <c r="M404" i="11"/>
  <c r="L404" i="11"/>
  <c r="H404" i="11"/>
  <c r="N404" i="11" s="1"/>
  <c r="N403" i="11"/>
  <c r="M403" i="11"/>
  <c r="L403" i="11"/>
  <c r="L401" i="11" s="1"/>
  <c r="L400" i="11" s="1"/>
  <c r="N402" i="11"/>
  <c r="M402" i="11"/>
  <c r="L402" i="11"/>
  <c r="H402" i="11"/>
  <c r="N401" i="11"/>
  <c r="N400" i="11" s="1"/>
  <c r="M401" i="11"/>
  <c r="K401" i="11"/>
  <c r="I401" i="11"/>
  <c r="H401" i="11"/>
  <c r="H400" i="11" s="1"/>
  <c r="G401" i="11"/>
  <c r="F401" i="11"/>
  <c r="M400" i="11"/>
  <c r="K400" i="11"/>
  <c r="J400" i="11"/>
  <c r="I400" i="11"/>
  <c r="G400" i="11"/>
  <c r="F400" i="11"/>
  <c r="J399" i="11"/>
  <c r="M398" i="11"/>
  <c r="L398" i="11"/>
  <c r="L397" i="11" s="1"/>
  <c r="H398" i="11"/>
  <c r="M397" i="11"/>
  <c r="K397" i="11"/>
  <c r="I397" i="11"/>
  <c r="G397" i="11"/>
  <c r="G394" i="11" s="1"/>
  <c r="G393" i="11" s="1"/>
  <c r="F397" i="11"/>
  <c r="N396" i="11"/>
  <c r="L396" i="11"/>
  <c r="H396" i="11"/>
  <c r="H395" i="11" s="1"/>
  <c r="F396" i="11"/>
  <c r="N395" i="11"/>
  <c r="M395" i="11"/>
  <c r="L395" i="11"/>
  <c r="K395" i="11"/>
  <c r="I395" i="11"/>
  <c r="G395" i="11"/>
  <c r="F395" i="11"/>
  <c r="F394" i="11" s="1"/>
  <c r="F393" i="11" s="1"/>
  <c r="M394" i="11"/>
  <c r="L394" i="11"/>
  <c r="L393" i="11" s="1"/>
  <c r="J394" i="11"/>
  <c r="I394" i="11"/>
  <c r="M393" i="11"/>
  <c r="J393" i="11"/>
  <c r="I393" i="11"/>
  <c r="N392" i="11"/>
  <c r="M392" i="11"/>
  <c r="L392" i="11"/>
  <c r="H392" i="11"/>
  <c r="N391" i="11"/>
  <c r="M391" i="11"/>
  <c r="L391" i="11"/>
  <c r="K391" i="11"/>
  <c r="I391" i="11"/>
  <c r="H391" i="11"/>
  <c r="H390" i="11" s="1"/>
  <c r="H389" i="11" s="1"/>
  <c r="G391" i="11"/>
  <c r="F391" i="11"/>
  <c r="N390" i="11"/>
  <c r="M390" i="11"/>
  <c r="M389" i="11" s="1"/>
  <c r="L390" i="11"/>
  <c r="K390" i="11"/>
  <c r="J390" i="11"/>
  <c r="I390" i="11"/>
  <c r="I389" i="11" s="1"/>
  <c r="G390" i="11"/>
  <c r="F390" i="11"/>
  <c r="N389" i="11"/>
  <c r="L389" i="11"/>
  <c r="K389" i="11"/>
  <c r="J389" i="11"/>
  <c r="G389" i="11"/>
  <c r="F389" i="11"/>
  <c r="N387" i="11"/>
  <c r="M387" i="11"/>
  <c r="L387" i="11"/>
  <c r="H387" i="11"/>
  <c r="N386" i="11"/>
  <c r="M386" i="11"/>
  <c r="L386" i="11"/>
  <c r="H386" i="11"/>
  <c r="N385" i="11"/>
  <c r="M385" i="11"/>
  <c r="L385" i="11"/>
  <c r="H385" i="11"/>
  <c r="N384" i="11"/>
  <c r="N382" i="11" s="1"/>
  <c r="N381" i="11" s="1"/>
  <c r="M384" i="11"/>
  <c r="L384" i="11"/>
  <c r="O384" i="11" s="1"/>
  <c r="P384" i="11" s="1"/>
  <c r="H384" i="11"/>
  <c r="M383" i="11"/>
  <c r="O383" i="11"/>
  <c r="P383" i="11" s="1"/>
  <c r="K383" i="11"/>
  <c r="I383" i="11"/>
  <c r="H382" i="11"/>
  <c r="H381" i="11" s="1"/>
  <c r="G383" i="11"/>
  <c r="M382" i="11"/>
  <c r="K382" i="11"/>
  <c r="I382" i="11"/>
  <c r="G382" i="11"/>
  <c r="G381" i="11" s="1"/>
  <c r="F382" i="11"/>
  <c r="L382" i="11" s="1"/>
  <c r="M381" i="11"/>
  <c r="K381" i="11"/>
  <c r="J381" i="11"/>
  <c r="I381" i="11"/>
  <c r="N380" i="11"/>
  <c r="M380" i="11"/>
  <c r="L380" i="11"/>
  <c r="H380" i="11"/>
  <c r="N379" i="11"/>
  <c r="M379" i="11"/>
  <c r="L379" i="11"/>
  <c r="K379" i="11"/>
  <c r="I379" i="11"/>
  <c r="H379" i="11"/>
  <c r="G379" i="11"/>
  <c r="F379" i="11"/>
  <c r="N378" i="11"/>
  <c r="M378" i="11"/>
  <c r="L378" i="11"/>
  <c r="K378" i="11"/>
  <c r="I378" i="11"/>
  <c r="H378" i="11"/>
  <c r="H377" i="11" s="1"/>
  <c r="G378" i="11"/>
  <c r="F378" i="11"/>
  <c r="N377" i="11"/>
  <c r="M377" i="11"/>
  <c r="L377" i="11"/>
  <c r="K377" i="11"/>
  <c r="J377" i="11"/>
  <c r="I377" i="11"/>
  <c r="G377" i="11"/>
  <c r="F377" i="11"/>
  <c r="M376" i="11"/>
  <c r="L376" i="11"/>
  <c r="H376" i="11"/>
  <c r="N376" i="11" s="1"/>
  <c r="L375" i="11"/>
  <c r="H375" i="11"/>
  <c r="N375" i="11" s="1"/>
  <c r="G375" i="11"/>
  <c r="M375" i="11" s="1"/>
  <c r="G374" i="11"/>
  <c r="M373" i="11"/>
  <c r="M372" i="11"/>
  <c r="M371" i="11" s="1"/>
  <c r="L372" i="11"/>
  <c r="H372" i="11"/>
  <c r="N372" i="11" s="1"/>
  <c r="L371" i="11"/>
  <c r="K371" i="11"/>
  <c r="I371" i="11"/>
  <c r="H371" i="11"/>
  <c r="G371" i="11"/>
  <c r="F371" i="11"/>
  <c r="M369" i="11"/>
  <c r="L369" i="11"/>
  <c r="H369" i="11"/>
  <c r="M368" i="11"/>
  <c r="M367" i="11" s="1"/>
  <c r="K368" i="11"/>
  <c r="I368" i="11"/>
  <c r="H368" i="11"/>
  <c r="H367" i="11" s="1"/>
  <c r="G368" i="11"/>
  <c r="F368" i="11"/>
  <c r="K367" i="11"/>
  <c r="I367" i="11"/>
  <c r="G367" i="11"/>
  <c r="F367" i="11"/>
  <c r="M366" i="11"/>
  <c r="L366" i="11"/>
  <c r="N366" i="11"/>
  <c r="M365" i="11"/>
  <c r="L365" i="11"/>
  <c r="L364" i="11" s="1"/>
  <c r="N365" i="11"/>
  <c r="M364" i="11"/>
  <c r="M363" i="11" s="1"/>
  <c r="K364" i="11"/>
  <c r="I364" i="11"/>
  <c r="H364" i="11"/>
  <c r="H363" i="11" s="1"/>
  <c r="G364" i="11"/>
  <c r="G363" i="11" s="1"/>
  <c r="F364" i="11"/>
  <c r="L363" i="11"/>
  <c r="K363" i="11"/>
  <c r="I363" i="11"/>
  <c r="F363" i="11"/>
  <c r="J342" i="11"/>
  <c r="I342" i="11"/>
  <c r="M361" i="11"/>
  <c r="O361" i="11" s="1"/>
  <c r="H361" i="11"/>
  <c r="L360" i="11"/>
  <c r="K360" i="11"/>
  <c r="I360" i="11"/>
  <c r="H360" i="11"/>
  <c r="G360" i="11"/>
  <c r="G357" i="11" s="1"/>
  <c r="G356" i="11" s="1"/>
  <c r="F360" i="11"/>
  <c r="N359" i="11"/>
  <c r="M359" i="11"/>
  <c r="L359" i="11"/>
  <c r="H359" i="11"/>
  <c r="N358" i="11"/>
  <c r="M358" i="11"/>
  <c r="L358" i="11"/>
  <c r="K358" i="11"/>
  <c r="I358" i="11"/>
  <c r="H358" i="11"/>
  <c r="H357" i="11" s="1"/>
  <c r="H356" i="11" s="1"/>
  <c r="G358" i="11"/>
  <c r="F358" i="11"/>
  <c r="L357" i="11"/>
  <c r="L356" i="11" s="1"/>
  <c r="K357" i="11"/>
  <c r="I357" i="11"/>
  <c r="F357" i="11"/>
  <c r="K356" i="11"/>
  <c r="J356" i="11"/>
  <c r="I356" i="11"/>
  <c r="F356" i="11"/>
  <c r="M355" i="11"/>
  <c r="O355" i="11" s="1"/>
  <c r="L355" i="11"/>
  <c r="M354" i="11"/>
  <c r="O354" i="11" s="1"/>
  <c r="P354" i="11" s="1"/>
  <c r="K353" i="11"/>
  <c r="I353" i="11"/>
  <c r="H353" i="11"/>
  <c r="G353" i="11"/>
  <c r="F353" i="11"/>
  <c r="L353" i="11" s="1"/>
  <c r="L349" i="11" s="1"/>
  <c r="M351" i="11"/>
  <c r="L351" i="11"/>
  <c r="H351" i="11"/>
  <c r="M350" i="11"/>
  <c r="L350" i="11"/>
  <c r="K350" i="11"/>
  <c r="K349" i="11" s="1"/>
  <c r="I350" i="11"/>
  <c r="G350" i="11"/>
  <c r="F350" i="11"/>
  <c r="I349" i="11"/>
  <c r="I343" i="11" s="1"/>
  <c r="G349" i="11"/>
  <c r="F349" i="11"/>
  <c r="L347" i="11"/>
  <c r="M346" i="11"/>
  <c r="O346" i="11" s="1"/>
  <c r="L346" i="11"/>
  <c r="L345" i="11" s="1"/>
  <c r="L344" i="11" s="1"/>
  <c r="H346" i="11"/>
  <c r="K345" i="11"/>
  <c r="I345" i="11"/>
  <c r="F345" i="11"/>
  <c r="F344" i="11" s="1"/>
  <c r="F343" i="11" s="1"/>
  <c r="F342" i="11" s="1"/>
  <c r="K344" i="11"/>
  <c r="I344" i="11"/>
  <c r="L343" i="11"/>
  <c r="J343" i="11"/>
  <c r="N341" i="11"/>
  <c r="L341" i="11"/>
  <c r="K341" i="11"/>
  <c r="L340" i="11"/>
  <c r="K340" i="11"/>
  <c r="N340" i="11" s="1"/>
  <c r="N339" i="11"/>
  <c r="M339" i="11"/>
  <c r="L339" i="11"/>
  <c r="N338" i="11"/>
  <c r="L338" i="11"/>
  <c r="K338" i="11"/>
  <c r="H338" i="11"/>
  <c r="H337" i="11" s="1"/>
  <c r="N337" i="11"/>
  <c r="N336" i="11" s="1"/>
  <c r="G337" i="11"/>
  <c r="G336" i="11" s="1"/>
  <c r="F337" i="11"/>
  <c r="M336" i="11"/>
  <c r="H336" i="11"/>
  <c r="N335" i="11"/>
  <c r="M335" i="11"/>
  <c r="J335" i="11"/>
  <c r="H335" i="11"/>
  <c r="G335" i="11"/>
  <c r="M334" i="11"/>
  <c r="L334" i="11"/>
  <c r="H334" i="11"/>
  <c r="N334" i="11" s="1"/>
  <c r="M333" i="11"/>
  <c r="N333" i="11" s="1"/>
  <c r="H333" i="11"/>
  <c r="G333" i="11"/>
  <c r="M332" i="11"/>
  <c r="L332" i="11"/>
  <c r="G332" i="11"/>
  <c r="H332" i="11" s="1"/>
  <c r="N332" i="11" s="1"/>
  <c r="M331" i="11"/>
  <c r="M330" i="11" s="1"/>
  <c r="L331" i="11"/>
  <c r="K331" i="11"/>
  <c r="H331" i="11"/>
  <c r="H330" i="11" s="1"/>
  <c r="L330" i="11"/>
  <c r="K330" i="11"/>
  <c r="I330" i="11"/>
  <c r="G330" i="11"/>
  <c r="F330" i="11"/>
  <c r="M329" i="11"/>
  <c r="L329" i="11"/>
  <c r="H329" i="11"/>
  <c r="N329" i="11" s="1"/>
  <c r="M328" i="11"/>
  <c r="L328" i="11"/>
  <c r="H328" i="11"/>
  <c r="L327" i="11"/>
  <c r="K327" i="11"/>
  <c r="K326" i="11" s="1"/>
  <c r="K325" i="11" s="1"/>
  <c r="K324" i="11" s="1"/>
  <c r="I327" i="11"/>
  <c r="G327" i="11"/>
  <c r="G326" i="11" s="1"/>
  <c r="G325" i="11" s="1"/>
  <c r="G324" i="11" s="1"/>
  <c r="M324" i="11" s="1"/>
  <c r="F327" i="11"/>
  <c r="F326" i="11" s="1"/>
  <c r="F325" i="11" s="1"/>
  <c r="L326" i="11"/>
  <c r="J326" i="11"/>
  <c r="J325" i="11" s="1"/>
  <c r="J324" i="11" s="1"/>
  <c r="L325" i="11"/>
  <c r="N323" i="11"/>
  <c r="M323" i="11"/>
  <c r="L323" i="11"/>
  <c r="M322" i="11"/>
  <c r="L322" i="11"/>
  <c r="K322" i="11"/>
  <c r="N322" i="11" s="1"/>
  <c r="J322" i="11"/>
  <c r="I322" i="11"/>
  <c r="N320" i="11"/>
  <c r="M320" i="11"/>
  <c r="L320" i="11"/>
  <c r="H320" i="11"/>
  <c r="H319" i="11" s="1"/>
  <c r="H318" i="11" s="1"/>
  <c r="H317" i="11" s="1"/>
  <c r="N319" i="11"/>
  <c r="N318" i="11" s="1"/>
  <c r="N317" i="11" s="1"/>
  <c r="N301" i="11" s="1"/>
  <c r="M319" i="11"/>
  <c r="L319" i="11"/>
  <c r="K319" i="11"/>
  <c r="I319" i="11"/>
  <c r="I318" i="11" s="1"/>
  <c r="I317" i="11" s="1"/>
  <c r="L317" i="11" s="1"/>
  <c r="G319" i="11"/>
  <c r="F319" i="11"/>
  <c r="F318" i="11" s="1"/>
  <c r="M318" i="11"/>
  <c r="L318" i="11"/>
  <c r="K318" i="11"/>
  <c r="G318" i="11"/>
  <c r="K317" i="11"/>
  <c r="J317" i="11"/>
  <c r="G317" i="11"/>
  <c r="F317" i="11"/>
  <c r="N314" i="11"/>
  <c r="M314" i="11"/>
  <c r="L314" i="11"/>
  <c r="K314" i="11"/>
  <c r="I314" i="11"/>
  <c r="H314" i="11"/>
  <c r="G314" i="11"/>
  <c r="F314" i="11"/>
  <c r="N313" i="11"/>
  <c r="M313" i="11"/>
  <c r="L313" i="11"/>
  <c r="K313" i="11"/>
  <c r="I313" i="11"/>
  <c r="H313" i="11"/>
  <c r="G313" i="11"/>
  <c r="F313" i="11"/>
  <c r="F312" i="11" s="1"/>
  <c r="F301" i="11" s="1"/>
  <c r="N312" i="11"/>
  <c r="M312" i="11"/>
  <c r="L312" i="11"/>
  <c r="K312" i="11"/>
  <c r="K301" i="11" s="1"/>
  <c r="J312" i="11"/>
  <c r="I312" i="11"/>
  <c r="H312" i="11"/>
  <c r="G312" i="11"/>
  <c r="G301" i="11" s="1"/>
  <c r="M311" i="11"/>
  <c r="L311" i="11"/>
  <c r="K311" i="11"/>
  <c r="N311" i="11" s="1"/>
  <c r="N310" i="11"/>
  <c r="M310" i="11"/>
  <c r="L310" i="11"/>
  <c r="K310" i="11"/>
  <c r="J310" i="11"/>
  <c r="N307" i="11"/>
  <c r="M307" i="11"/>
  <c r="L307" i="11"/>
  <c r="K307" i="11"/>
  <c r="I307" i="11"/>
  <c r="H307" i="11"/>
  <c r="G307" i="11"/>
  <c r="F307" i="11"/>
  <c r="M306" i="11"/>
  <c r="N306" i="11" s="1"/>
  <c r="N304" i="11" s="1"/>
  <c r="N303" i="11" s="1"/>
  <c r="L306" i="11"/>
  <c r="H306" i="11"/>
  <c r="N305" i="11"/>
  <c r="L305" i="11"/>
  <c r="L304" i="11" s="1"/>
  <c r="H305" i="11"/>
  <c r="M304" i="11"/>
  <c r="M303" i="11" s="1"/>
  <c r="M302" i="11" s="1"/>
  <c r="K304" i="11"/>
  <c r="I304" i="11"/>
  <c r="H304" i="11"/>
  <c r="G304" i="11"/>
  <c r="G303" i="11" s="1"/>
  <c r="G302" i="11" s="1"/>
  <c r="F304" i="11"/>
  <c r="L303" i="11"/>
  <c r="L302" i="11" s="1"/>
  <c r="L301" i="11" s="1"/>
  <c r="K303" i="11"/>
  <c r="J303" i="11"/>
  <c r="I303" i="11"/>
  <c r="H303" i="11"/>
  <c r="H302" i="11" s="1"/>
  <c r="H301" i="11" s="1"/>
  <c r="F303" i="11"/>
  <c r="N302" i="11"/>
  <c r="K302" i="11"/>
  <c r="J302" i="11"/>
  <c r="I302" i="11"/>
  <c r="F302" i="11"/>
  <c r="J301" i="11"/>
  <c r="M300" i="11"/>
  <c r="H300" i="11"/>
  <c r="M299" i="11"/>
  <c r="H299" i="11"/>
  <c r="M298" i="11"/>
  <c r="H298" i="11"/>
  <c r="M297" i="11"/>
  <c r="H297" i="11"/>
  <c r="N297" i="11" s="1"/>
  <c r="N295" i="11"/>
  <c r="M295" i="11"/>
  <c r="L295" i="11"/>
  <c r="K295" i="11"/>
  <c r="I295" i="11"/>
  <c r="H295" i="11"/>
  <c r="G295" i="11"/>
  <c r="F295" i="11"/>
  <c r="N294" i="11"/>
  <c r="M294" i="11"/>
  <c r="L294" i="11"/>
  <c r="K294" i="11"/>
  <c r="K290" i="11" s="1"/>
  <c r="I294" i="11"/>
  <c r="I290" i="11" s="1"/>
  <c r="H294" i="11"/>
  <c r="G294" i="11"/>
  <c r="F294" i="11"/>
  <c r="M293" i="11"/>
  <c r="O293" i="11" s="1"/>
  <c r="H293" i="11"/>
  <c r="H292" i="11" s="1"/>
  <c r="H291" i="11" s="1"/>
  <c r="H290" i="11" s="1"/>
  <c r="L292" i="11"/>
  <c r="K292" i="11"/>
  <c r="I292" i="11"/>
  <c r="G292" i="11"/>
  <c r="G291" i="11" s="1"/>
  <c r="G290" i="11" s="1"/>
  <c r="F292" i="11"/>
  <c r="L291" i="11"/>
  <c r="K291" i="11"/>
  <c r="I291" i="11"/>
  <c r="F291" i="11"/>
  <c r="L290" i="11"/>
  <c r="J290" i="11"/>
  <c r="F290" i="11"/>
  <c r="N288" i="11"/>
  <c r="M288" i="11"/>
  <c r="L288" i="11"/>
  <c r="K288" i="11"/>
  <c r="I288" i="11"/>
  <c r="H288" i="11"/>
  <c r="G288" i="11"/>
  <c r="F288" i="11"/>
  <c r="N287" i="11"/>
  <c r="M287" i="11"/>
  <c r="L287" i="11"/>
  <c r="K287" i="11"/>
  <c r="I287" i="11"/>
  <c r="I286" i="11" s="1"/>
  <c r="H287" i="11"/>
  <c r="G287" i="11"/>
  <c r="F287" i="11"/>
  <c r="N286" i="11"/>
  <c r="M286" i="11"/>
  <c r="L286" i="11"/>
  <c r="K286" i="11"/>
  <c r="J286" i="11"/>
  <c r="H286" i="11"/>
  <c r="G286" i="11"/>
  <c r="F286" i="11"/>
  <c r="M285" i="11"/>
  <c r="M284" i="11" s="1"/>
  <c r="O284" i="11" s="1"/>
  <c r="L285" i="11"/>
  <c r="H285" i="11"/>
  <c r="L284" i="11"/>
  <c r="K284" i="11"/>
  <c r="I284" i="11"/>
  <c r="G284" i="11"/>
  <c r="F284" i="11"/>
  <c r="F281" i="11" s="1"/>
  <c r="F280" i="11" s="1"/>
  <c r="M283" i="11"/>
  <c r="O283" i="11" s="1"/>
  <c r="L283" i="11"/>
  <c r="L282" i="11" s="1"/>
  <c r="L281" i="11" s="1"/>
  <c r="L280" i="11" s="1"/>
  <c r="H283" i="11"/>
  <c r="K282" i="11"/>
  <c r="I282" i="11"/>
  <c r="G282" i="11"/>
  <c r="G281" i="11" s="1"/>
  <c r="G280" i="11" s="1"/>
  <c r="F282" i="11"/>
  <c r="K281" i="11"/>
  <c r="K280" i="11" s="1"/>
  <c r="I281" i="11"/>
  <c r="I280" i="11"/>
  <c r="N279" i="11"/>
  <c r="N278" i="11" s="1"/>
  <c r="N277" i="11" s="1"/>
  <c r="N276" i="11" s="1"/>
  <c r="M279" i="11"/>
  <c r="M278" i="11" s="1"/>
  <c r="M277" i="11" s="1"/>
  <c r="M276" i="11" s="1"/>
  <c r="L279" i="11"/>
  <c r="L278" i="11" s="1"/>
  <c r="L277" i="11" s="1"/>
  <c r="L276" i="11" s="1"/>
  <c r="K278" i="11"/>
  <c r="I278" i="11"/>
  <c r="I277" i="11" s="1"/>
  <c r="H278" i="11"/>
  <c r="G278" i="11"/>
  <c r="G277" i="11" s="1"/>
  <c r="G276" i="11" s="1"/>
  <c r="F278" i="11"/>
  <c r="K277" i="11"/>
  <c r="K276" i="11" s="1"/>
  <c r="H277" i="11"/>
  <c r="H276" i="11" s="1"/>
  <c r="F277" i="11"/>
  <c r="F276" i="11" s="1"/>
  <c r="I276" i="11"/>
  <c r="N275" i="11"/>
  <c r="M275" i="11"/>
  <c r="H275" i="11"/>
  <c r="N274" i="11"/>
  <c r="M274" i="11"/>
  <c r="H274" i="11"/>
  <c r="M273" i="11"/>
  <c r="H273" i="11"/>
  <c r="N273" i="11" s="1"/>
  <c r="M272" i="11"/>
  <c r="H272" i="11"/>
  <c r="N272" i="11" s="1"/>
  <c r="N271" i="11"/>
  <c r="N270" i="11" s="1"/>
  <c r="N269" i="11" s="1"/>
  <c r="M271" i="11"/>
  <c r="L271" i="11"/>
  <c r="H271" i="11"/>
  <c r="H270" i="11" s="1"/>
  <c r="H269" i="11" s="1"/>
  <c r="F271" i="11"/>
  <c r="F270" i="11" s="1"/>
  <c r="F269" i="11" s="1"/>
  <c r="F254" i="11" s="1"/>
  <c r="F253" i="11" s="1"/>
  <c r="M270" i="11"/>
  <c r="L270" i="11"/>
  <c r="K270" i="11"/>
  <c r="K269" i="11" s="1"/>
  <c r="I270" i="11"/>
  <c r="G270" i="11"/>
  <c r="M269" i="11"/>
  <c r="L269" i="11"/>
  <c r="I269" i="11"/>
  <c r="G269" i="11"/>
  <c r="N268" i="11"/>
  <c r="N267" i="11" s="1"/>
  <c r="N266" i="11" s="1"/>
  <c r="M268" i="11"/>
  <c r="O268" i="11" s="1"/>
  <c r="P268" i="11" s="1"/>
  <c r="L268" i="11"/>
  <c r="H268" i="11"/>
  <c r="H267" i="11" s="1"/>
  <c r="H266" i="11" s="1"/>
  <c r="F268" i="11"/>
  <c r="M267" i="11"/>
  <c r="M266" i="11" s="1"/>
  <c r="L267" i="11"/>
  <c r="K267" i="11"/>
  <c r="I267" i="11"/>
  <c r="G267" i="11"/>
  <c r="G266" i="11" s="1"/>
  <c r="F267" i="11"/>
  <c r="L266" i="11"/>
  <c r="K266" i="11"/>
  <c r="I266" i="11"/>
  <c r="F266" i="11"/>
  <c r="N264" i="11"/>
  <c r="M264" i="11"/>
  <c r="L264" i="11"/>
  <c r="L255" i="11" s="1"/>
  <c r="L254" i="11" s="1"/>
  <c r="L253" i="11" s="1"/>
  <c r="K264" i="11"/>
  <c r="I264" i="11"/>
  <c r="H264" i="11"/>
  <c r="G264" i="11"/>
  <c r="F264" i="11"/>
  <c r="N263" i="11"/>
  <c r="M263" i="11"/>
  <c r="L263" i="11"/>
  <c r="N262" i="11"/>
  <c r="M262" i="11"/>
  <c r="L262" i="11"/>
  <c r="M261" i="11"/>
  <c r="L261" i="11"/>
  <c r="H261" i="11"/>
  <c r="H260" i="11" s="1"/>
  <c r="M260" i="11"/>
  <c r="L260" i="11"/>
  <c r="K260" i="11"/>
  <c r="K255" i="11" s="1"/>
  <c r="I260" i="11"/>
  <c r="I255" i="11" s="1"/>
  <c r="I254" i="11" s="1"/>
  <c r="I253" i="11" s="1"/>
  <c r="G260" i="11"/>
  <c r="F260" i="11"/>
  <c r="F255" i="11" s="1"/>
  <c r="N258" i="11"/>
  <c r="M258" i="11"/>
  <c r="L258" i="11"/>
  <c r="N257" i="11"/>
  <c r="M257" i="11"/>
  <c r="L257" i="11"/>
  <c r="H257" i="11"/>
  <c r="N256" i="11"/>
  <c r="M256" i="11"/>
  <c r="L256" i="11"/>
  <c r="K256" i="11"/>
  <c r="I256" i="11"/>
  <c r="H256" i="11"/>
  <c r="G256" i="11"/>
  <c r="F256" i="11"/>
  <c r="M255" i="11"/>
  <c r="H255" i="11"/>
  <c r="J254" i="11"/>
  <c r="J253" i="11"/>
  <c r="M252" i="11"/>
  <c r="M251" i="11" s="1"/>
  <c r="M250" i="11" s="1"/>
  <c r="M249" i="11" s="1"/>
  <c r="M244" i="11" s="1"/>
  <c r="L252" i="11"/>
  <c r="H252" i="11"/>
  <c r="N252" i="11" s="1"/>
  <c r="N251" i="11" s="1"/>
  <c r="N250" i="11" s="1"/>
  <c r="N249" i="11" s="1"/>
  <c r="L251" i="11"/>
  <c r="K251" i="11"/>
  <c r="I251" i="11"/>
  <c r="H251" i="11"/>
  <c r="H250" i="11" s="1"/>
  <c r="H249" i="11" s="1"/>
  <c r="G251" i="11"/>
  <c r="F251" i="11"/>
  <c r="L250" i="11"/>
  <c r="K250" i="11"/>
  <c r="I250" i="11"/>
  <c r="G250" i="11"/>
  <c r="G249" i="11" s="1"/>
  <c r="G244" i="11" s="1"/>
  <c r="F250" i="11"/>
  <c r="F249" i="11" s="1"/>
  <c r="L249" i="11"/>
  <c r="K249" i="11"/>
  <c r="K244" i="11" s="1"/>
  <c r="J249" i="11"/>
  <c r="I249" i="11"/>
  <c r="N247" i="11"/>
  <c r="M247" i="11"/>
  <c r="L247" i="11"/>
  <c r="K247" i="11"/>
  <c r="I247" i="11"/>
  <c r="H247" i="11"/>
  <c r="G247" i="11"/>
  <c r="F247" i="11"/>
  <c r="N246" i="11"/>
  <c r="M246" i="11"/>
  <c r="L246" i="11"/>
  <c r="K246" i="11"/>
  <c r="I246" i="11"/>
  <c r="I245" i="11" s="1"/>
  <c r="H246" i="11"/>
  <c r="G246" i="11"/>
  <c r="G245" i="11" s="1"/>
  <c r="F246" i="11"/>
  <c r="N245" i="11"/>
  <c r="N244" i="11" s="1"/>
  <c r="M245" i="11"/>
  <c r="L245" i="11"/>
  <c r="L244" i="11" s="1"/>
  <c r="K245" i="11"/>
  <c r="J245" i="11"/>
  <c r="J244" i="11" s="1"/>
  <c r="H245" i="11"/>
  <c r="H244" i="11" s="1"/>
  <c r="F245" i="11"/>
  <c r="I244" i="11"/>
  <c r="M243" i="11"/>
  <c r="L243" i="11"/>
  <c r="N243" i="11" s="1"/>
  <c r="N242" i="11" s="1"/>
  <c r="H243" i="11"/>
  <c r="M242" i="11"/>
  <c r="L242" i="11"/>
  <c r="G242" i="11"/>
  <c r="H242" i="11" s="1"/>
  <c r="H239" i="11" s="1"/>
  <c r="M241" i="11"/>
  <c r="M240" i="11" s="1"/>
  <c r="M239" i="11" s="1"/>
  <c r="M238" i="11" s="1"/>
  <c r="L241" i="11"/>
  <c r="K241" i="11"/>
  <c r="K240" i="11" s="1"/>
  <c r="K239" i="11" s="1"/>
  <c r="K238" i="11" s="1"/>
  <c r="H241" i="11"/>
  <c r="L240" i="11"/>
  <c r="I240" i="11"/>
  <c r="I239" i="11" s="1"/>
  <c r="I238" i="11" s="1"/>
  <c r="H240" i="11"/>
  <c r="G240" i="11"/>
  <c r="F240" i="11"/>
  <c r="G239" i="11"/>
  <c r="G238" i="11" s="1"/>
  <c r="F239" i="11"/>
  <c r="J238" i="11"/>
  <c r="H238" i="11"/>
  <c r="F238" i="11"/>
  <c r="M237" i="11"/>
  <c r="M236" i="11" s="1"/>
  <c r="M235" i="11" s="1"/>
  <c r="M234" i="11" s="1"/>
  <c r="L237" i="11"/>
  <c r="L236" i="11" s="1"/>
  <c r="L235" i="11" s="1"/>
  <c r="L234" i="11" s="1"/>
  <c r="K236" i="11"/>
  <c r="I236" i="11"/>
  <c r="H236" i="11"/>
  <c r="H235" i="11" s="1"/>
  <c r="H234" i="11" s="1"/>
  <c r="G236" i="11"/>
  <c r="F236" i="11"/>
  <c r="F235" i="11" s="1"/>
  <c r="F234" i="11" s="1"/>
  <c r="K235" i="11"/>
  <c r="I235" i="11"/>
  <c r="I234" i="11" s="1"/>
  <c r="G235" i="11"/>
  <c r="G234" i="11" s="1"/>
  <c r="K234" i="11"/>
  <c r="J234" i="11"/>
  <c r="N233" i="11"/>
  <c r="M233" i="11"/>
  <c r="H233" i="11"/>
  <c r="N232" i="11"/>
  <c r="G232" i="11"/>
  <c r="M228" i="11"/>
  <c r="L228" i="11"/>
  <c r="H228" i="11"/>
  <c r="M227" i="11"/>
  <c r="L227" i="11"/>
  <c r="K227" i="11"/>
  <c r="K226" i="11" s="1"/>
  <c r="K225" i="11" s="1"/>
  <c r="I227" i="11"/>
  <c r="G227" i="11"/>
  <c r="F227" i="11"/>
  <c r="F226" i="11" s="1"/>
  <c r="F225" i="11" s="1"/>
  <c r="L226" i="11"/>
  <c r="I226" i="11"/>
  <c r="L225" i="11"/>
  <c r="J225" i="11"/>
  <c r="I225" i="11"/>
  <c r="N222" i="11"/>
  <c r="M222" i="11"/>
  <c r="L222" i="11"/>
  <c r="K222" i="11"/>
  <c r="I222" i="11"/>
  <c r="H222" i="11"/>
  <c r="G222" i="11"/>
  <c r="F222" i="11"/>
  <c r="N221" i="11"/>
  <c r="M221" i="11"/>
  <c r="L221" i="11"/>
  <c r="K221" i="11"/>
  <c r="I221" i="11"/>
  <c r="H221" i="11"/>
  <c r="G221" i="11"/>
  <c r="F221" i="11"/>
  <c r="N220" i="11"/>
  <c r="M220" i="11"/>
  <c r="L220" i="11"/>
  <c r="K220" i="11"/>
  <c r="I220" i="11"/>
  <c r="I209" i="11" s="1"/>
  <c r="H220" i="11"/>
  <c r="G220" i="11"/>
  <c r="F220" i="11"/>
  <c r="M219" i="11"/>
  <c r="L219" i="11"/>
  <c r="O219" i="11" s="1"/>
  <c r="P219" i="11" s="1"/>
  <c r="K219" i="11"/>
  <c r="H219" i="11"/>
  <c r="N219" i="11" s="1"/>
  <c r="L218" i="11"/>
  <c r="O218" i="11" s="1"/>
  <c r="K218" i="11"/>
  <c r="G218" i="11"/>
  <c r="M217" i="11"/>
  <c r="M216" i="11" s="1"/>
  <c r="L217" i="11"/>
  <c r="O217" i="11" s="1"/>
  <c r="P217" i="11" s="1"/>
  <c r="K217" i="11"/>
  <c r="H217" i="11"/>
  <c r="N217" i="11" s="1"/>
  <c r="L216" i="11"/>
  <c r="O216" i="11" s="1"/>
  <c r="J216" i="11"/>
  <c r="K216" i="11" s="1"/>
  <c r="G216" i="11"/>
  <c r="H216" i="11" s="1"/>
  <c r="I215" i="11"/>
  <c r="J214" i="11"/>
  <c r="I214" i="11"/>
  <c r="N213" i="11"/>
  <c r="M213" i="11"/>
  <c r="K213" i="11"/>
  <c r="H213" i="11"/>
  <c r="N212" i="11"/>
  <c r="M212" i="11"/>
  <c r="K212" i="11"/>
  <c r="J212" i="11"/>
  <c r="H212" i="11"/>
  <c r="M211" i="11"/>
  <c r="N211" i="11" s="1"/>
  <c r="J211" i="11"/>
  <c r="H211" i="11"/>
  <c r="H210" i="11"/>
  <c r="M208" i="11"/>
  <c r="O208" i="11" s="1"/>
  <c r="L208" i="11"/>
  <c r="H208" i="11"/>
  <c r="N208" i="11" s="1"/>
  <c r="L207" i="11"/>
  <c r="G207" i="11"/>
  <c r="F206" i="11"/>
  <c r="M205" i="11"/>
  <c r="L205" i="11"/>
  <c r="H205" i="11"/>
  <c r="N205" i="11" s="1"/>
  <c r="M204" i="11"/>
  <c r="H204" i="11"/>
  <c r="N204" i="11" s="1"/>
  <c r="G204" i="11"/>
  <c r="F204" i="11"/>
  <c r="L204" i="11" s="1"/>
  <c r="M203" i="11"/>
  <c r="H203" i="11"/>
  <c r="N203" i="11" s="1"/>
  <c r="G203" i="11"/>
  <c r="F203" i="11"/>
  <c r="L203" i="11" s="1"/>
  <c r="M202" i="11"/>
  <c r="L202" i="11"/>
  <c r="H202" i="11"/>
  <c r="N202" i="11" s="1"/>
  <c r="M201" i="11"/>
  <c r="M196" i="11" s="1"/>
  <c r="L201" i="11"/>
  <c r="H201" i="11"/>
  <c r="G201" i="11"/>
  <c r="M200" i="11"/>
  <c r="L200" i="11"/>
  <c r="N200" i="11" s="1"/>
  <c r="H200" i="11"/>
  <c r="M199" i="11"/>
  <c r="L199" i="11"/>
  <c r="N199" i="11" s="1"/>
  <c r="H199" i="11"/>
  <c r="N198" i="11"/>
  <c r="M198" i="11"/>
  <c r="L198" i="11"/>
  <c r="H198" i="11"/>
  <c r="N197" i="11"/>
  <c r="M197" i="11"/>
  <c r="L197" i="11"/>
  <c r="L196" i="11" s="1"/>
  <c r="K197" i="11"/>
  <c r="I197" i="11"/>
  <c r="H197" i="11"/>
  <c r="G197" i="11"/>
  <c r="G196" i="11" s="1"/>
  <c r="F197" i="11"/>
  <c r="K196" i="11"/>
  <c r="I196" i="11"/>
  <c r="F196" i="11"/>
  <c r="N195" i="11"/>
  <c r="M195" i="11"/>
  <c r="L195" i="11"/>
  <c r="H195" i="11"/>
  <c r="N194" i="11"/>
  <c r="M194" i="11"/>
  <c r="L194" i="11"/>
  <c r="K194" i="11"/>
  <c r="I194" i="11"/>
  <c r="H194" i="11"/>
  <c r="G194" i="11"/>
  <c r="F194" i="11"/>
  <c r="N193" i="11"/>
  <c r="M193" i="11"/>
  <c r="L193" i="11"/>
  <c r="K193" i="11"/>
  <c r="I193" i="11"/>
  <c r="H193" i="11"/>
  <c r="G193" i="11"/>
  <c r="F193" i="11"/>
  <c r="K192" i="11"/>
  <c r="J192" i="11"/>
  <c r="I192" i="11"/>
  <c r="M191" i="11"/>
  <c r="O191" i="11" s="1"/>
  <c r="L191" i="11"/>
  <c r="H191" i="11"/>
  <c r="H190" i="11" s="1"/>
  <c r="H187" i="11" s="1"/>
  <c r="H186" i="11" s="1"/>
  <c r="M190" i="11"/>
  <c r="O190" i="11" s="1"/>
  <c r="L190" i="11"/>
  <c r="K190" i="11"/>
  <c r="I190" i="11"/>
  <c r="G190" i="11"/>
  <c r="G187" i="11" s="1"/>
  <c r="G186" i="11" s="1"/>
  <c r="F190" i="11"/>
  <c r="N188" i="11"/>
  <c r="M188" i="11"/>
  <c r="L188" i="11"/>
  <c r="K188" i="11"/>
  <c r="I188" i="11"/>
  <c r="H188" i="11"/>
  <c r="G188" i="11"/>
  <c r="F188" i="11"/>
  <c r="L187" i="11"/>
  <c r="L186" i="11" s="1"/>
  <c r="K187" i="11"/>
  <c r="I187" i="11"/>
  <c r="F187" i="11"/>
  <c r="K186" i="11"/>
  <c r="J186" i="11"/>
  <c r="I186" i="11"/>
  <c r="F186" i="11"/>
  <c r="M181" i="11"/>
  <c r="L181" i="11"/>
  <c r="K181" i="11"/>
  <c r="H181" i="11"/>
  <c r="N181" i="11" s="1"/>
  <c r="M180" i="11"/>
  <c r="J180" i="11"/>
  <c r="I180" i="11"/>
  <c r="H180" i="11"/>
  <c r="G180" i="11"/>
  <c r="F180" i="11"/>
  <c r="N179" i="11"/>
  <c r="M179" i="11"/>
  <c r="L179" i="11"/>
  <c r="H179" i="11"/>
  <c r="N178" i="11"/>
  <c r="M178" i="11"/>
  <c r="L178" i="11"/>
  <c r="H178" i="11"/>
  <c r="M177" i="11"/>
  <c r="L177" i="11"/>
  <c r="K177" i="11"/>
  <c r="H177" i="11"/>
  <c r="N177" i="11" s="1"/>
  <c r="K176" i="11"/>
  <c r="J176" i="11"/>
  <c r="M176" i="11" s="1"/>
  <c r="N176" i="11" s="1"/>
  <c r="I176" i="11"/>
  <c r="L176" i="11" s="1"/>
  <c r="H176" i="11"/>
  <c r="N175" i="11"/>
  <c r="M175" i="11"/>
  <c r="N174" i="11"/>
  <c r="M174" i="11"/>
  <c r="N173" i="11"/>
  <c r="M173" i="11"/>
  <c r="K173" i="11"/>
  <c r="N172" i="11"/>
  <c r="M172" i="11"/>
  <c r="M171" i="11"/>
  <c r="M170" i="11" s="1"/>
  <c r="L171" i="11"/>
  <c r="H171" i="11"/>
  <c r="H170" i="11" s="1"/>
  <c r="L170" i="11"/>
  <c r="K170" i="11"/>
  <c r="I170" i="11"/>
  <c r="G170" i="11"/>
  <c r="F170" i="11"/>
  <c r="L169" i="11"/>
  <c r="L168" i="11"/>
  <c r="K168" i="11"/>
  <c r="I168" i="11"/>
  <c r="F168" i="11"/>
  <c r="M167" i="11"/>
  <c r="L167" i="11"/>
  <c r="K167" i="11"/>
  <c r="H167" i="11"/>
  <c r="N167" i="11" s="1"/>
  <c r="N166" i="11" s="1"/>
  <c r="M166" i="11"/>
  <c r="L166" i="11"/>
  <c r="K166" i="11"/>
  <c r="J166" i="11"/>
  <c r="I166" i="11"/>
  <c r="M165" i="11"/>
  <c r="L165" i="11"/>
  <c r="H165" i="11"/>
  <c r="N165" i="11" s="1"/>
  <c r="L164" i="11"/>
  <c r="H164" i="11"/>
  <c r="N164" i="11" s="1"/>
  <c r="G164" i="11"/>
  <c r="M164" i="11" s="1"/>
  <c r="M163" i="11"/>
  <c r="M162" i="11" s="1"/>
  <c r="L163" i="11"/>
  <c r="L162" i="11" s="1"/>
  <c r="H163" i="11"/>
  <c r="H162" i="11" s="1"/>
  <c r="K162" i="11"/>
  <c r="I162" i="11"/>
  <c r="G162" i="11"/>
  <c r="F162" i="11"/>
  <c r="M161" i="11"/>
  <c r="M160" i="11" s="1"/>
  <c r="L161" i="11"/>
  <c r="H161" i="11"/>
  <c r="H160" i="11" s="1"/>
  <c r="L160" i="11"/>
  <c r="K160" i="11"/>
  <c r="I160" i="11"/>
  <c r="G160" i="11"/>
  <c r="F160" i="11"/>
  <c r="F155" i="11" s="1"/>
  <c r="F154" i="11" s="1"/>
  <c r="M159" i="11"/>
  <c r="L159" i="11"/>
  <c r="K159" i="11"/>
  <c r="H159" i="11"/>
  <c r="H158" i="11" s="1"/>
  <c r="M158" i="11"/>
  <c r="L158" i="11"/>
  <c r="K158" i="11"/>
  <c r="J158" i="11"/>
  <c r="I158" i="11"/>
  <c r="G158" i="11"/>
  <c r="F158" i="11"/>
  <c r="N157" i="11"/>
  <c r="M157" i="11"/>
  <c r="L157" i="11"/>
  <c r="H157" i="11"/>
  <c r="H156" i="11" s="1"/>
  <c r="N156" i="11"/>
  <c r="M156" i="11"/>
  <c r="L156" i="11"/>
  <c r="K156" i="11"/>
  <c r="I156" i="11"/>
  <c r="G156" i="11"/>
  <c r="F156" i="11"/>
  <c r="J155" i="11"/>
  <c r="J154" i="11" s="1"/>
  <c r="M153" i="11"/>
  <c r="L153" i="11"/>
  <c r="K153" i="11"/>
  <c r="H153" i="11"/>
  <c r="N153" i="11" s="1"/>
  <c r="N152" i="11" s="1"/>
  <c r="M152" i="11"/>
  <c r="L152" i="11"/>
  <c r="K152" i="11"/>
  <c r="I152" i="11"/>
  <c r="H152" i="11"/>
  <c r="G152" i="11"/>
  <c r="F152" i="11"/>
  <c r="M151" i="11"/>
  <c r="M150" i="11" s="1"/>
  <c r="L151" i="11"/>
  <c r="L150" i="11" s="1"/>
  <c r="K151" i="11"/>
  <c r="K150" i="11" s="1"/>
  <c r="I151" i="11"/>
  <c r="H151" i="11"/>
  <c r="N151" i="11" s="1"/>
  <c r="N150" i="11"/>
  <c r="I150" i="11"/>
  <c r="H150" i="11"/>
  <c r="G150" i="11"/>
  <c r="F150" i="11"/>
  <c r="M149" i="11"/>
  <c r="M148" i="11" s="1"/>
  <c r="O148" i="11" s="1"/>
  <c r="L149" i="11"/>
  <c r="K149" i="11"/>
  <c r="K148" i="11" s="1"/>
  <c r="L148" i="11"/>
  <c r="J148" i="11"/>
  <c r="J144" i="11" s="1"/>
  <c r="J143" i="11" s="1"/>
  <c r="I148" i="11"/>
  <c r="G148" i="11"/>
  <c r="F148" i="11"/>
  <c r="F144" i="11" s="1"/>
  <c r="M147" i="11"/>
  <c r="L147" i="11"/>
  <c r="H147" i="11"/>
  <c r="N147" i="11" s="1"/>
  <c r="L146" i="11"/>
  <c r="L145" i="11" s="1"/>
  <c r="L144" i="11" s="1"/>
  <c r="L143" i="11" s="1"/>
  <c r="K146" i="11"/>
  <c r="H146" i="11"/>
  <c r="H145" i="11" s="1"/>
  <c r="J145" i="11"/>
  <c r="I145" i="11"/>
  <c r="G145" i="11"/>
  <c r="G144" i="11" s="1"/>
  <c r="G143" i="11" s="1"/>
  <c r="F145" i="11"/>
  <c r="I144" i="11"/>
  <c r="I143" i="11" s="1"/>
  <c r="F143" i="11"/>
  <c r="M142" i="11"/>
  <c r="H142" i="11"/>
  <c r="N142" i="11" s="1"/>
  <c r="H141" i="11"/>
  <c r="N141" i="11" s="1"/>
  <c r="G141" i="11"/>
  <c r="M141" i="11" s="1"/>
  <c r="H140" i="11"/>
  <c r="N140" i="11" s="1"/>
  <c r="G140" i="11"/>
  <c r="M140" i="11" s="1"/>
  <c r="L139" i="11"/>
  <c r="H139" i="11"/>
  <c r="L138" i="11"/>
  <c r="L137" i="11" s="1"/>
  <c r="L136" i="11" s="1"/>
  <c r="K138" i="11"/>
  <c r="I138" i="11"/>
  <c r="G138" i="11"/>
  <c r="G137" i="11" s="1"/>
  <c r="G136" i="11" s="1"/>
  <c r="F138" i="11"/>
  <c r="F137" i="11" s="1"/>
  <c r="F136" i="11" s="1"/>
  <c r="K137" i="11"/>
  <c r="K136" i="11" s="1"/>
  <c r="I137" i="11"/>
  <c r="I136" i="11" s="1"/>
  <c r="M134" i="11"/>
  <c r="H134" i="11"/>
  <c r="N134" i="11" s="1"/>
  <c r="N133" i="11"/>
  <c r="M133" i="11"/>
  <c r="N132" i="11"/>
  <c r="M132" i="11"/>
  <c r="N131" i="11"/>
  <c r="M131" i="11"/>
  <c r="N130" i="11"/>
  <c r="M130" i="11"/>
  <c r="L130" i="11"/>
  <c r="H130" i="11"/>
  <c r="N129" i="11"/>
  <c r="M129" i="11"/>
  <c r="L129" i="11"/>
  <c r="H129" i="11"/>
  <c r="N128" i="11"/>
  <c r="M128" i="11"/>
  <c r="H128" i="11"/>
  <c r="G128" i="11"/>
  <c r="L127" i="11"/>
  <c r="G127" i="11"/>
  <c r="N126" i="11"/>
  <c r="N125" i="11" s="1"/>
  <c r="N124" i="11" s="1"/>
  <c r="M126" i="11"/>
  <c r="L126" i="11"/>
  <c r="H126" i="11"/>
  <c r="H125" i="11" s="1"/>
  <c r="H124" i="11" s="1"/>
  <c r="M125" i="11"/>
  <c r="L125" i="11"/>
  <c r="K125" i="11"/>
  <c r="K124" i="11" s="1"/>
  <c r="K114" i="11" s="1"/>
  <c r="I125" i="11"/>
  <c r="I124" i="11" s="1"/>
  <c r="I114" i="11" s="1"/>
  <c r="G125" i="11"/>
  <c r="F125" i="11"/>
  <c r="F124" i="11" s="1"/>
  <c r="F114" i="11" s="1"/>
  <c r="M124" i="11"/>
  <c r="L124" i="11"/>
  <c r="G124" i="11"/>
  <c r="N123" i="11"/>
  <c r="M123" i="11"/>
  <c r="H123" i="11"/>
  <c r="N122" i="11"/>
  <c r="M122" i="11"/>
  <c r="H122" i="11"/>
  <c r="M121" i="11"/>
  <c r="L121" i="11"/>
  <c r="H121" i="11"/>
  <c r="M120" i="11"/>
  <c r="L120" i="11"/>
  <c r="H120" i="11"/>
  <c r="N120" i="11" s="1"/>
  <c r="M119" i="11"/>
  <c r="L119" i="11"/>
  <c r="L114" i="11" s="1"/>
  <c r="F119" i="11"/>
  <c r="N118" i="11"/>
  <c r="M118" i="11"/>
  <c r="L118" i="11"/>
  <c r="H118" i="11"/>
  <c r="N117" i="11"/>
  <c r="M117" i="11"/>
  <c r="L117" i="11"/>
  <c r="H117" i="11"/>
  <c r="N116" i="11"/>
  <c r="M116" i="11"/>
  <c r="L116" i="11"/>
  <c r="K116" i="11"/>
  <c r="I116" i="11"/>
  <c r="H116" i="11"/>
  <c r="G116" i="11"/>
  <c r="F116" i="11"/>
  <c r="N115" i="11"/>
  <c r="M115" i="11"/>
  <c r="L115" i="11"/>
  <c r="K115" i="11"/>
  <c r="I115" i="11"/>
  <c r="H115" i="11"/>
  <c r="G115" i="11"/>
  <c r="G114" i="11" s="1"/>
  <c r="F115" i="11"/>
  <c r="J114" i="11"/>
  <c r="N113" i="11"/>
  <c r="N112" i="11" s="1"/>
  <c r="M113" i="11"/>
  <c r="L113" i="11"/>
  <c r="M112" i="11"/>
  <c r="L112" i="11"/>
  <c r="K112" i="11"/>
  <c r="I112" i="11"/>
  <c r="H112" i="11"/>
  <c r="H111" i="11" s="1"/>
  <c r="G112" i="11"/>
  <c r="F112" i="11"/>
  <c r="M111" i="11"/>
  <c r="L111" i="11"/>
  <c r="K111" i="11"/>
  <c r="I111" i="11"/>
  <c r="G111" i="11"/>
  <c r="F111" i="11"/>
  <c r="N110" i="11"/>
  <c r="N109" i="11" s="1"/>
  <c r="M110" i="11"/>
  <c r="L110" i="11"/>
  <c r="M109" i="11"/>
  <c r="L109" i="11"/>
  <c r="K109" i="11"/>
  <c r="I109" i="11"/>
  <c r="H109" i="11"/>
  <c r="G109" i="11"/>
  <c r="F109" i="11"/>
  <c r="N108" i="11"/>
  <c r="M108" i="11"/>
  <c r="L108" i="11"/>
  <c r="K108" i="11"/>
  <c r="N107" i="11"/>
  <c r="M107" i="11"/>
  <c r="L107" i="11"/>
  <c r="K107" i="11"/>
  <c r="J107" i="11"/>
  <c r="I107" i="11"/>
  <c r="H107" i="11"/>
  <c r="G107" i="11"/>
  <c r="F107" i="11"/>
  <c r="M106" i="11"/>
  <c r="L106" i="11"/>
  <c r="K106" i="11"/>
  <c r="H106" i="11"/>
  <c r="L105" i="11"/>
  <c r="H105" i="11"/>
  <c r="L104" i="11"/>
  <c r="L103" i="11" s="1"/>
  <c r="L102" i="11" s="1"/>
  <c r="I104" i="11"/>
  <c r="F104" i="11"/>
  <c r="F103" i="11" s="1"/>
  <c r="F102" i="11" s="1"/>
  <c r="M101" i="11"/>
  <c r="L101" i="11"/>
  <c r="L100" i="11" s="1"/>
  <c r="K101" i="11"/>
  <c r="H101" i="11"/>
  <c r="M100" i="11"/>
  <c r="J100" i="11"/>
  <c r="I100" i="11"/>
  <c r="I93" i="11" s="1"/>
  <c r="I92" i="11" s="1"/>
  <c r="H100" i="11"/>
  <c r="G100" i="11"/>
  <c r="F100" i="11"/>
  <c r="N99" i="11"/>
  <c r="M99" i="11"/>
  <c r="L99" i="11"/>
  <c r="N98" i="11"/>
  <c r="M98" i="11"/>
  <c r="L98" i="11"/>
  <c r="H98" i="11"/>
  <c r="F98" i="11"/>
  <c r="N97" i="11"/>
  <c r="M97" i="11"/>
  <c r="L97" i="11"/>
  <c r="H97" i="11"/>
  <c r="M96" i="11"/>
  <c r="K96" i="11"/>
  <c r="I96" i="11"/>
  <c r="F96" i="11"/>
  <c r="L96" i="11" s="1"/>
  <c r="O96" i="11" s="1"/>
  <c r="N95" i="11"/>
  <c r="M95" i="11"/>
  <c r="L95" i="11"/>
  <c r="H95" i="11"/>
  <c r="N94" i="11"/>
  <c r="M94" i="11"/>
  <c r="L94" i="11"/>
  <c r="H94" i="11"/>
  <c r="J93" i="11"/>
  <c r="J92" i="11" s="1"/>
  <c r="J91" i="11" s="1"/>
  <c r="G93" i="11"/>
  <c r="G92" i="11" s="1"/>
  <c r="F93" i="11"/>
  <c r="F92" i="11" s="1"/>
  <c r="M89" i="11"/>
  <c r="L89" i="11"/>
  <c r="K89" i="11"/>
  <c r="I89" i="11"/>
  <c r="H89" i="11"/>
  <c r="G89" i="11"/>
  <c r="F89" i="11"/>
  <c r="M88" i="11"/>
  <c r="M87" i="11" s="1"/>
  <c r="L88" i="11"/>
  <c r="K88" i="11"/>
  <c r="I88" i="11"/>
  <c r="H88" i="11"/>
  <c r="H87" i="11" s="1"/>
  <c r="G88" i="11"/>
  <c r="G87" i="11" s="1"/>
  <c r="F88" i="11"/>
  <c r="F87" i="11" s="1"/>
  <c r="L87" i="11"/>
  <c r="K87" i="11"/>
  <c r="J87" i="11"/>
  <c r="I87" i="11"/>
  <c r="M86" i="11"/>
  <c r="N86" i="11" s="1"/>
  <c r="N85" i="11" s="1"/>
  <c r="N84" i="11" s="1"/>
  <c r="N80" i="11" s="1"/>
  <c r="L86" i="11"/>
  <c r="H86" i="11"/>
  <c r="H85" i="11" s="1"/>
  <c r="H84" i="11" s="1"/>
  <c r="H80" i="11" s="1"/>
  <c r="M85" i="11"/>
  <c r="L85" i="11"/>
  <c r="K85" i="11"/>
  <c r="I85" i="11"/>
  <c r="G85" i="11"/>
  <c r="G84" i="11" s="1"/>
  <c r="F85" i="11"/>
  <c r="M84" i="11"/>
  <c r="M80" i="11" s="1"/>
  <c r="L84" i="11"/>
  <c r="K84" i="11"/>
  <c r="I84" i="11"/>
  <c r="F84" i="11"/>
  <c r="N83" i="11"/>
  <c r="M83" i="11"/>
  <c r="L83" i="11"/>
  <c r="H83" i="11"/>
  <c r="N82" i="11"/>
  <c r="M82" i="11"/>
  <c r="L82" i="11"/>
  <c r="K82" i="11"/>
  <c r="I82" i="11"/>
  <c r="H82" i="11"/>
  <c r="G82" i="11"/>
  <c r="F82" i="11"/>
  <c r="N81" i="11"/>
  <c r="M81" i="11"/>
  <c r="L81" i="11"/>
  <c r="K81" i="11"/>
  <c r="I81" i="11"/>
  <c r="H81" i="11"/>
  <c r="G81" i="11"/>
  <c r="F81" i="11"/>
  <c r="L80" i="11"/>
  <c r="L79" i="11" s="1"/>
  <c r="K80" i="11"/>
  <c r="J80" i="11"/>
  <c r="J79" i="11" s="1"/>
  <c r="I80" i="11"/>
  <c r="F80" i="11"/>
  <c r="K79" i="11"/>
  <c r="I79" i="11"/>
  <c r="F79" i="11"/>
  <c r="M78" i="11"/>
  <c r="L78" i="11"/>
  <c r="L75" i="11" s="1"/>
  <c r="L74" i="11" s="1"/>
  <c r="L73" i="11" s="1"/>
  <c r="H78" i="11"/>
  <c r="N78" i="11" s="1"/>
  <c r="M77" i="11"/>
  <c r="L77" i="11"/>
  <c r="H77" i="11"/>
  <c r="N77" i="11" s="1"/>
  <c r="M76" i="11"/>
  <c r="L76" i="11"/>
  <c r="H76" i="11"/>
  <c r="H75" i="11" s="1"/>
  <c r="H74" i="11" s="1"/>
  <c r="H73" i="11" s="1"/>
  <c r="M75" i="11"/>
  <c r="K75" i="11"/>
  <c r="K74" i="11" s="1"/>
  <c r="K73" i="11" s="1"/>
  <c r="I75" i="11"/>
  <c r="G75" i="11"/>
  <c r="G74" i="11" s="1"/>
  <c r="G73" i="11" s="1"/>
  <c r="F75" i="11"/>
  <c r="F74" i="11" s="1"/>
  <c r="F73" i="11" s="1"/>
  <c r="M74" i="11"/>
  <c r="I74" i="11"/>
  <c r="I73" i="11" s="1"/>
  <c r="M73" i="11"/>
  <c r="J73" i="11"/>
  <c r="M71" i="11"/>
  <c r="L71" i="11"/>
  <c r="H71" i="11"/>
  <c r="N71" i="11" s="1"/>
  <c r="M70" i="11"/>
  <c r="M69" i="11" s="1"/>
  <c r="L70" i="11"/>
  <c r="H70" i="11"/>
  <c r="K69" i="11"/>
  <c r="K68" i="11" s="1"/>
  <c r="I69" i="11"/>
  <c r="G69" i="11"/>
  <c r="G68" i="11" s="1"/>
  <c r="F69" i="11"/>
  <c r="F68" i="11" s="1"/>
  <c r="M68" i="11"/>
  <c r="I68" i="11"/>
  <c r="N67" i="11"/>
  <c r="L67" i="11"/>
  <c r="N66" i="11"/>
  <c r="L66" i="11"/>
  <c r="N65" i="11"/>
  <c r="L65" i="11"/>
  <c r="M64" i="11"/>
  <c r="N63" i="11"/>
  <c r="L63" i="11"/>
  <c r="O63" i="11" s="1"/>
  <c r="P63" i="11" s="1"/>
  <c r="K63" i="11"/>
  <c r="I63" i="11"/>
  <c r="H63" i="11"/>
  <c r="G63" i="11"/>
  <c r="F63" i="11"/>
  <c r="N62" i="11"/>
  <c r="M62" i="11"/>
  <c r="L62" i="11"/>
  <c r="K62" i="11"/>
  <c r="N61" i="11"/>
  <c r="L61" i="11"/>
  <c r="K61" i="11"/>
  <c r="J61" i="11"/>
  <c r="M61" i="11" s="1"/>
  <c r="M60" i="11"/>
  <c r="M59" i="11" s="1"/>
  <c r="L60" i="11"/>
  <c r="K60" i="11"/>
  <c r="K59" i="11" s="1"/>
  <c r="L59" i="11"/>
  <c r="J59" i="11"/>
  <c r="I59" i="11"/>
  <c r="F59" i="11"/>
  <c r="M58" i="11"/>
  <c r="L58" i="11"/>
  <c r="K58" i="11"/>
  <c r="K57" i="11" s="1"/>
  <c r="H58" i="11"/>
  <c r="L57" i="11"/>
  <c r="J57" i="11"/>
  <c r="I57" i="11"/>
  <c r="F57" i="11"/>
  <c r="M56" i="11"/>
  <c r="L56" i="11"/>
  <c r="O55" i="11"/>
  <c r="N54" i="11"/>
  <c r="M54" i="11"/>
  <c r="L54" i="11"/>
  <c r="L53" i="11"/>
  <c r="L50" i="11" s="1"/>
  <c r="H53" i="11"/>
  <c r="F53" i="11"/>
  <c r="N52" i="11"/>
  <c r="M52" i="11"/>
  <c r="L52" i="11"/>
  <c r="H52" i="11"/>
  <c r="H50" i="11" s="1"/>
  <c r="J50" i="11"/>
  <c r="J49" i="11" s="1"/>
  <c r="I50" i="11"/>
  <c r="G50" i="11"/>
  <c r="F50" i="11"/>
  <c r="N46" i="11"/>
  <c r="M46" i="11"/>
  <c r="L46" i="11"/>
  <c r="K46" i="11"/>
  <c r="K41" i="11" s="1"/>
  <c r="K40" i="11" s="1"/>
  <c r="I46" i="11"/>
  <c r="I41" i="11" s="1"/>
  <c r="I40" i="11" s="1"/>
  <c r="I39" i="11" s="1"/>
  <c r="H46" i="11"/>
  <c r="H41" i="11" s="1"/>
  <c r="H40" i="11" s="1"/>
  <c r="G46" i="11"/>
  <c r="F46" i="11"/>
  <c r="F41" i="11" s="1"/>
  <c r="F40" i="11" s="1"/>
  <c r="N45" i="11"/>
  <c r="N44" i="11" s="1"/>
  <c r="M45" i="11"/>
  <c r="M44" i="11" s="1"/>
  <c r="M41" i="11" s="1"/>
  <c r="M40" i="11" s="1"/>
  <c r="L45" i="11"/>
  <c r="L44" i="11"/>
  <c r="K44" i="11"/>
  <c r="I44" i="11"/>
  <c r="H44" i="11"/>
  <c r="G44" i="11"/>
  <c r="F44" i="11"/>
  <c r="M43" i="11"/>
  <c r="L43" i="11"/>
  <c r="L42" i="11" s="1"/>
  <c r="L41" i="11" s="1"/>
  <c r="L40" i="11" s="1"/>
  <c r="H43" i="11"/>
  <c r="M42" i="11"/>
  <c r="K42" i="11"/>
  <c r="I42" i="11"/>
  <c r="H42" i="11"/>
  <c r="G42" i="11"/>
  <c r="F42" i="11"/>
  <c r="G41" i="11"/>
  <c r="G40" i="11" s="1"/>
  <c r="N36" i="11"/>
  <c r="M36" i="11"/>
  <c r="L36" i="11"/>
  <c r="K36" i="11"/>
  <c r="I36" i="11"/>
  <c r="H36" i="11"/>
  <c r="G36" i="11"/>
  <c r="F36" i="11"/>
  <c r="N35" i="11"/>
  <c r="M35" i="11"/>
  <c r="L35" i="11"/>
  <c r="K35" i="11"/>
  <c r="I35" i="11"/>
  <c r="H35" i="11"/>
  <c r="H34" i="11" s="1"/>
  <c r="G35" i="11"/>
  <c r="F35" i="11"/>
  <c r="N34" i="11"/>
  <c r="M34" i="11"/>
  <c r="L34" i="11"/>
  <c r="K34" i="11"/>
  <c r="J34" i="11"/>
  <c r="I34" i="11"/>
  <c r="G34" i="11"/>
  <c r="F34" i="11"/>
  <c r="N33" i="11"/>
  <c r="M33" i="11"/>
  <c r="L33" i="11"/>
  <c r="K33" i="11"/>
  <c r="J32" i="11"/>
  <c r="I32" i="11"/>
  <c r="M31" i="11"/>
  <c r="L31" i="11"/>
  <c r="H31" i="11"/>
  <c r="M30" i="11"/>
  <c r="L30" i="11"/>
  <c r="K30" i="11"/>
  <c r="I30" i="11"/>
  <c r="G30" i="11"/>
  <c r="G25" i="11" s="1"/>
  <c r="F30" i="11"/>
  <c r="F25" i="11" s="1"/>
  <c r="M28" i="11"/>
  <c r="L28" i="11"/>
  <c r="K28" i="11"/>
  <c r="K26" i="11" s="1"/>
  <c r="H28" i="11"/>
  <c r="N28" i="11" s="1"/>
  <c r="N26" i="11" s="1"/>
  <c r="N27" i="11"/>
  <c r="M27" i="11"/>
  <c r="L27" i="11"/>
  <c r="L26" i="11" s="1"/>
  <c r="L25" i="11" s="1"/>
  <c r="H27" i="11"/>
  <c r="M26" i="11"/>
  <c r="J26" i="11"/>
  <c r="I26" i="11"/>
  <c r="G26" i="11"/>
  <c r="F26" i="11"/>
  <c r="M25" i="11"/>
  <c r="J25" i="11"/>
  <c r="J18" i="11" s="1"/>
  <c r="M24" i="11"/>
  <c r="N24" i="11" s="1"/>
  <c r="N23" i="11" s="1"/>
  <c r="L24" i="11"/>
  <c r="H24" i="11"/>
  <c r="H23" i="11" s="1"/>
  <c r="L23" i="11"/>
  <c r="K23" i="11"/>
  <c r="I23" i="11"/>
  <c r="I19" i="11" s="1"/>
  <c r="F23" i="11"/>
  <c r="F19" i="11" s="1"/>
  <c r="N22" i="11"/>
  <c r="M22" i="11"/>
  <c r="L22" i="11"/>
  <c r="K22" i="11"/>
  <c r="M21" i="11"/>
  <c r="L21" i="11"/>
  <c r="K21" i="11"/>
  <c r="H21" i="11"/>
  <c r="N21" i="11" s="1"/>
  <c r="N20" i="11" s="1"/>
  <c r="M20" i="11"/>
  <c r="L20" i="11"/>
  <c r="K20" i="11"/>
  <c r="K19" i="11" s="1"/>
  <c r="J20" i="11"/>
  <c r="I20" i="11"/>
  <c r="G20" i="11"/>
  <c r="H20" i="11" s="1"/>
  <c r="H19" i="11" s="1"/>
  <c r="F20" i="11"/>
  <c r="L19" i="11"/>
  <c r="L18" i="11" s="1"/>
  <c r="M412" i="11" l="1"/>
  <c r="M411" i="11" s="1"/>
  <c r="O411" i="11" s="1"/>
  <c r="P421" i="11"/>
  <c r="M187" i="11"/>
  <c r="N191" i="11"/>
  <c r="N190" i="11" s="1"/>
  <c r="P190" i="11" s="1"/>
  <c r="O412" i="11"/>
  <c r="O414" i="11"/>
  <c r="L381" i="11"/>
  <c r="O381" i="11" s="1"/>
  <c r="P381" i="11" s="1"/>
  <c r="O382" i="11"/>
  <c r="P382" i="11" s="1"/>
  <c r="F381" i="11"/>
  <c r="P355" i="11"/>
  <c r="O149" i="11"/>
  <c r="P208" i="11"/>
  <c r="O277" i="11"/>
  <c r="P277" i="11" s="1"/>
  <c r="O278" i="11"/>
  <c r="P278" i="11" s="1"/>
  <c r="N293" i="11"/>
  <c r="N292" i="11" s="1"/>
  <c r="N291" i="11" s="1"/>
  <c r="N290" i="11" s="1"/>
  <c r="M292" i="11"/>
  <c r="G253" i="11"/>
  <c r="M282" i="11"/>
  <c r="P266" i="11"/>
  <c r="O267" i="11"/>
  <c r="P267" i="11" s="1"/>
  <c r="J39" i="11"/>
  <c r="J17" i="11" s="1"/>
  <c r="J48" i="11"/>
  <c r="P406" i="11"/>
  <c r="N405" i="11"/>
  <c r="L405" i="11"/>
  <c r="O405" i="11" s="1"/>
  <c r="N216" i="11"/>
  <c r="P216" i="11" s="1"/>
  <c r="H96" i="11"/>
  <c r="N96" i="11" s="1"/>
  <c r="P96" i="11" s="1"/>
  <c r="P97" i="11"/>
  <c r="M93" i="11"/>
  <c r="M92" i="11" s="1"/>
  <c r="L93" i="11"/>
  <c r="H93" i="11"/>
  <c r="H92" i="11" s="1"/>
  <c r="P112" i="11"/>
  <c r="N111" i="11"/>
  <c r="P113" i="11"/>
  <c r="P111" i="11"/>
  <c r="P55" i="11"/>
  <c r="P51" i="11"/>
  <c r="G59" i="11"/>
  <c r="G39" i="11" s="1"/>
  <c r="J135" i="11"/>
  <c r="N53" i="11"/>
  <c r="N50" i="11" s="1"/>
  <c r="K50" i="11"/>
  <c r="K49" i="11" s="1"/>
  <c r="H412" i="11"/>
  <c r="H411" i="11" s="1"/>
  <c r="H399" i="11" s="1"/>
  <c r="N414" i="11"/>
  <c r="M327" i="11"/>
  <c r="M326" i="11"/>
  <c r="M325" i="11" s="1"/>
  <c r="M317" i="11"/>
  <c r="M301" i="11" s="1"/>
  <c r="N261" i="11"/>
  <c r="N260" i="11" s="1"/>
  <c r="N255" i="11" s="1"/>
  <c r="N254" i="11" s="1"/>
  <c r="M254" i="11"/>
  <c r="N171" i="11"/>
  <c r="N170" i="11" s="1"/>
  <c r="N161" i="11"/>
  <c r="N160" i="11" s="1"/>
  <c r="N105" i="11"/>
  <c r="N104" i="11" s="1"/>
  <c r="N103" i="11" s="1"/>
  <c r="N102" i="11" s="1"/>
  <c r="P102" i="11" s="1"/>
  <c r="M105" i="11"/>
  <c r="M104" i="11" s="1"/>
  <c r="M103" i="11" s="1"/>
  <c r="M102" i="11" s="1"/>
  <c r="M91" i="11" s="1"/>
  <c r="I103" i="11"/>
  <c r="I102" i="11" s="1"/>
  <c r="I91" i="11" s="1"/>
  <c r="H104" i="11"/>
  <c r="H103" i="11" s="1"/>
  <c r="H102" i="11" s="1"/>
  <c r="G103" i="11"/>
  <c r="G102" i="11" s="1"/>
  <c r="G91" i="11" s="1"/>
  <c r="N79" i="11"/>
  <c r="G80" i="11"/>
  <c r="G79" i="11" s="1"/>
  <c r="M79" i="11"/>
  <c r="H57" i="11"/>
  <c r="M50" i="11"/>
  <c r="O50" i="11" s="1"/>
  <c r="H26" i="11"/>
  <c r="G18" i="11"/>
  <c r="M23" i="11"/>
  <c r="M19" i="11" s="1"/>
  <c r="M18" i="11" s="1"/>
  <c r="N19" i="11"/>
  <c r="F135" i="11"/>
  <c r="L32" i="11"/>
  <c r="K32" i="11"/>
  <c r="N32" i="11" s="1"/>
  <c r="L49" i="11"/>
  <c r="L48" i="11" s="1"/>
  <c r="F39" i="11"/>
  <c r="N70" i="11"/>
  <c r="N69" i="11" s="1"/>
  <c r="N68" i="11" s="1"/>
  <c r="H69" i="11"/>
  <c r="H68" i="11" s="1"/>
  <c r="I25" i="11"/>
  <c r="I18" i="11" s="1"/>
  <c r="N31" i="11"/>
  <c r="N30" i="11" s="1"/>
  <c r="N25" i="11" s="1"/>
  <c r="H30" i="11"/>
  <c r="L69" i="11"/>
  <c r="L68" i="11" s="1"/>
  <c r="F18" i="11"/>
  <c r="N43" i="11"/>
  <c r="N42" i="11" s="1"/>
  <c r="N41" i="11" s="1"/>
  <c r="N40" i="11" s="1"/>
  <c r="L206" i="11"/>
  <c r="L192" i="11" s="1"/>
  <c r="F192" i="11"/>
  <c r="N285" i="11"/>
  <c r="N284" i="11" s="1"/>
  <c r="P284" i="11" s="1"/>
  <c r="H284" i="11"/>
  <c r="K105" i="11"/>
  <c r="K104" i="11" s="1"/>
  <c r="K103" i="11" s="1"/>
  <c r="K102" i="11" s="1"/>
  <c r="M114" i="11"/>
  <c r="N121" i="11"/>
  <c r="H119" i="11"/>
  <c r="N119" i="11" s="1"/>
  <c r="N114" i="11" s="1"/>
  <c r="H138" i="11"/>
  <c r="H137" i="11" s="1"/>
  <c r="H136" i="11" s="1"/>
  <c r="N139" i="11"/>
  <c r="N138" i="11" s="1"/>
  <c r="N137" i="11" s="1"/>
  <c r="N136" i="11" s="1"/>
  <c r="M144" i="11"/>
  <c r="H144" i="11"/>
  <c r="H143" i="11" s="1"/>
  <c r="I155" i="11"/>
  <c r="I154" i="11" s="1"/>
  <c r="I135" i="11" s="1"/>
  <c r="H218" i="11"/>
  <c r="N218" i="11" s="1"/>
  <c r="P218" i="11" s="1"/>
  <c r="G215" i="11"/>
  <c r="M218" i="11"/>
  <c r="L239" i="11"/>
  <c r="L238" i="11" s="1"/>
  <c r="L337" i="11"/>
  <c r="F335" i="11"/>
  <c r="F336" i="11"/>
  <c r="N361" i="11"/>
  <c r="N360" i="11" s="1"/>
  <c r="N357" i="11" s="1"/>
  <c r="N356" i="11" s="1"/>
  <c r="M360" i="11"/>
  <c r="O360" i="11" s="1"/>
  <c r="N58" i="11"/>
  <c r="N57" i="11" s="1"/>
  <c r="N60" i="11"/>
  <c r="N59" i="11" s="1"/>
  <c r="P59" i="11" s="1"/>
  <c r="M63" i="11"/>
  <c r="N76" i="11"/>
  <c r="N75" i="11" s="1"/>
  <c r="N74" i="11" s="1"/>
  <c r="N73" i="11" s="1"/>
  <c r="J104" i="11"/>
  <c r="J103" i="11" s="1"/>
  <c r="J102" i="11" s="1"/>
  <c r="G155" i="11"/>
  <c r="G154" i="11" s="1"/>
  <c r="H196" i="11"/>
  <c r="N201" i="11"/>
  <c r="K215" i="11"/>
  <c r="K214" i="11" s="1"/>
  <c r="K209" i="11" s="1"/>
  <c r="N300" i="11"/>
  <c r="N299" i="11"/>
  <c r="F388" i="11"/>
  <c r="M169" i="11"/>
  <c r="M168" i="11" s="1"/>
  <c r="M155" i="11" s="1"/>
  <c r="M154" i="11" s="1"/>
  <c r="G168" i="11"/>
  <c r="L180" i="11"/>
  <c r="L155" i="11" s="1"/>
  <c r="L154" i="11" s="1"/>
  <c r="K180" i="11"/>
  <c r="K155" i="11" s="1"/>
  <c r="K154" i="11" s="1"/>
  <c r="H420" i="11"/>
  <c r="N420" i="11" s="1"/>
  <c r="M420" i="11"/>
  <c r="O420" i="11" s="1"/>
  <c r="H79" i="11"/>
  <c r="F91" i="11"/>
  <c r="N106" i="11"/>
  <c r="H127" i="11"/>
  <c r="N127" i="11" s="1"/>
  <c r="M127" i="11"/>
  <c r="N149" i="11"/>
  <c r="N148" i="11" s="1"/>
  <c r="N144" i="11" s="1"/>
  <c r="N143" i="11" s="1"/>
  <c r="N159" i="11"/>
  <c r="N158" i="11" s="1"/>
  <c r="H169" i="11"/>
  <c r="N196" i="11"/>
  <c r="M207" i="11"/>
  <c r="O207" i="11" s="1"/>
  <c r="G206" i="11"/>
  <c r="G192" i="11" s="1"/>
  <c r="H207" i="11"/>
  <c r="N207" i="11" s="1"/>
  <c r="N228" i="11"/>
  <c r="N227" i="11" s="1"/>
  <c r="N226" i="11" s="1"/>
  <c r="N225" i="11" s="1"/>
  <c r="H227" i="11"/>
  <c r="H226" i="11" s="1"/>
  <c r="H225" i="11" s="1"/>
  <c r="F324" i="11"/>
  <c r="M353" i="11"/>
  <c r="O353" i="11" s="1"/>
  <c r="N355" i="11"/>
  <c r="M374" i="11"/>
  <c r="O374" i="11" s="1"/>
  <c r="P374" i="11" s="1"/>
  <c r="H374" i="11"/>
  <c r="N374" i="11" s="1"/>
  <c r="N163" i="11"/>
  <c r="N162" i="11" s="1"/>
  <c r="J209" i="11"/>
  <c r="I301" i="11"/>
  <c r="N331" i="11"/>
  <c r="N330" i="11" s="1"/>
  <c r="M357" i="11"/>
  <c r="N371" i="11"/>
  <c r="J388" i="11"/>
  <c r="K394" i="11"/>
  <c r="K393" i="11" s="1"/>
  <c r="K388" i="11" s="1"/>
  <c r="N101" i="11"/>
  <c r="N100" i="11" s="1"/>
  <c r="N93" i="11" s="1"/>
  <c r="N92" i="11" s="1"/>
  <c r="K100" i="11"/>
  <c r="K93" i="11" s="1"/>
  <c r="K92" i="11" s="1"/>
  <c r="K145" i="11"/>
  <c r="K144" i="11" s="1"/>
  <c r="K143" i="11" s="1"/>
  <c r="N180" i="11"/>
  <c r="J210" i="11"/>
  <c r="K211" i="11"/>
  <c r="L215" i="11"/>
  <c r="O215" i="11" s="1"/>
  <c r="F214" i="11"/>
  <c r="M232" i="11"/>
  <c r="G226" i="11"/>
  <c r="N241" i="11"/>
  <c r="N240" i="11" s="1"/>
  <c r="N239" i="11" s="1"/>
  <c r="N238" i="11" s="1"/>
  <c r="F244" i="11"/>
  <c r="H327" i="11"/>
  <c r="H326" i="11" s="1"/>
  <c r="H325" i="11" s="1"/>
  <c r="H324" i="11" s="1"/>
  <c r="N328" i="11"/>
  <c r="N327" i="11" s="1"/>
  <c r="K343" i="11"/>
  <c r="K342" i="11" s="1"/>
  <c r="M347" i="11"/>
  <c r="M345" i="11" s="1"/>
  <c r="H347" i="11"/>
  <c r="N347" i="11" s="1"/>
  <c r="G345" i="11"/>
  <c r="G344" i="11" s="1"/>
  <c r="G343" i="11" s="1"/>
  <c r="H350" i="11"/>
  <c r="H349" i="11" s="1"/>
  <c r="N351" i="11"/>
  <c r="N350" i="11" s="1"/>
  <c r="N369" i="11"/>
  <c r="N368" i="11" s="1"/>
  <c r="N367" i="11" s="1"/>
  <c r="L368" i="11"/>
  <c r="L367" i="11" s="1"/>
  <c r="M399" i="11"/>
  <c r="M419" i="11"/>
  <c r="G415" i="11"/>
  <c r="G388" i="11" s="1"/>
  <c r="H419" i="11"/>
  <c r="K254" i="11"/>
  <c r="K253" i="11" s="1"/>
  <c r="I326" i="11"/>
  <c r="I325" i="11" s="1"/>
  <c r="I324" i="11" s="1"/>
  <c r="N346" i="11"/>
  <c r="P346" i="11" s="1"/>
  <c r="N398" i="11"/>
  <c r="N397" i="11" s="1"/>
  <c r="N394" i="11" s="1"/>
  <c r="N393" i="11" s="1"/>
  <c r="H397" i="11"/>
  <c r="H394" i="11" s="1"/>
  <c r="H393" i="11" s="1"/>
  <c r="H254" i="11"/>
  <c r="N283" i="11"/>
  <c r="N282" i="11" s="1"/>
  <c r="N281" i="11" s="1"/>
  <c r="N280" i="11" s="1"/>
  <c r="H282" i="11"/>
  <c r="N364" i="11"/>
  <c r="N363" i="11" s="1"/>
  <c r="I399" i="11"/>
  <c r="I388" i="11" s="1"/>
  <c r="G169" i="10"/>
  <c r="P361" i="11" l="1"/>
  <c r="P360" i="11"/>
  <c r="M356" i="11"/>
  <c r="O356" i="11" s="1"/>
  <c r="P356" i="11" s="1"/>
  <c r="O357" i="11"/>
  <c r="P357" i="11" s="1"/>
  <c r="P420" i="11"/>
  <c r="P414" i="11"/>
  <c r="M415" i="11"/>
  <c r="O415" i="11" s="1"/>
  <c r="O419" i="11"/>
  <c r="N187" i="11"/>
  <c r="N186" i="11" s="1"/>
  <c r="O187" i="11"/>
  <c r="P187" i="11" s="1"/>
  <c r="M186" i="11"/>
  <c r="O186" i="11" s="1"/>
  <c r="P186" i="11" s="1"/>
  <c r="P191" i="11"/>
  <c r="M344" i="11"/>
  <c r="O344" i="11" s="1"/>
  <c r="O345" i="11"/>
  <c r="P148" i="11"/>
  <c r="M143" i="11"/>
  <c r="O143" i="11" s="1"/>
  <c r="P143" i="11" s="1"/>
  <c r="O144" i="11"/>
  <c r="P144" i="11" s="1"/>
  <c r="P149" i="11"/>
  <c r="P207" i="11"/>
  <c r="O292" i="11"/>
  <c r="P292" i="11" s="1"/>
  <c r="M291" i="11"/>
  <c r="P293" i="11"/>
  <c r="H281" i="11"/>
  <c r="H280" i="11" s="1"/>
  <c r="P285" i="11"/>
  <c r="H253" i="11"/>
  <c r="M281" i="11"/>
  <c r="O282" i="11"/>
  <c r="P282" i="11" s="1"/>
  <c r="P283" i="11"/>
  <c r="O254" i="11"/>
  <c r="P254" i="11" s="1"/>
  <c r="K48" i="11"/>
  <c r="K39" i="11" s="1"/>
  <c r="N49" i="11"/>
  <c r="P50" i="11"/>
  <c r="P53" i="11"/>
  <c r="P405" i="11"/>
  <c r="L399" i="11"/>
  <c r="O399" i="11" s="1"/>
  <c r="L342" i="11"/>
  <c r="O362" i="11"/>
  <c r="P362" i="11" s="1"/>
  <c r="L214" i="11"/>
  <c r="O214" i="11" s="1"/>
  <c r="F209" i="11"/>
  <c r="L209" i="11" s="1"/>
  <c r="O209" i="11" s="1"/>
  <c r="L92" i="11"/>
  <c r="O93" i="11"/>
  <c r="P93" i="11" s="1"/>
  <c r="P60" i="11"/>
  <c r="N412" i="11"/>
  <c r="P412" i="11" s="1"/>
  <c r="M49" i="11"/>
  <c r="G342" i="11"/>
  <c r="H345" i="11"/>
  <c r="H344" i="11" s="1"/>
  <c r="H343" i="11" s="1"/>
  <c r="H342" i="11" s="1"/>
  <c r="N345" i="11"/>
  <c r="N344" i="11" s="1"/>
  <c r="N253" i="11"/>
  <c r="G135" i="11"/>
  <c r="K91" i="11"/>
  <c r="H39" i="11"/>
  <c r="H25" i="11"/>
  <c r="H18" i="11" s="1"/>
  <c r="N18" i="11"/>
  <c r="H91" i="11"/>
  <c r="L135" i="11"/>
  <c r="I17" i="11"/>
  <c r="I16" i="11" s="1"/>
  <c r="N326" i="11"/>
  <c r="N325" i="11" s="1"/>
  <c r="N324" i="11" s="1"/>
  <c r="N91" i="11"/>
  <c r="M206" i="11"/>
  <c r="H206" i="11"/>
  <c r="N206" i="11" s="1"/>
  <c r="N192" i="11" s="1"/>
  <c r="M215" i="11"/>
  <c r="M214" i="11" s="1"/>
  <c r="N214" i="11" s="1"/>
  <c r="P214" i="11" s="1"/>
  <c r="G214" i="11"/>
  <c r="H214" i="11" s="1"/>
  <c r="H209" i="11" s="1"/>
  <c r="N209" i="11" s="1"/>
  <c r="H215" i="11"/>
  <c r="K25" i="11"/>
  <c r="K18" i="11" s="1"/>
  <c r="M226" i="11"/>
  <c r="M225" i="11" s="1"/>
  <c r="G225" i="11"/>
  <c r="G209" i="11" s="1"/>
  <c r="M209" i="11" s="1"/>
  <c r="K135" i="11"/>
  <c r="H114" i="11"/>
  <c r="L335" i="11"/>
  <c r="L324" i="11" s="1"/>
  <c r="L336" i="11"/>
  <c r="J16" i="11"/>
  <c r="H415" i="11"/>
  <c r="H388" i="11" s="1"/>
  <c r="N419" i="11"/>
  <c r="N415" i="11" s="1"/>
  <c r="M210" i="11"/>
  <c r="K210" i="11"/>
  <c r="N210" i="11" s="1"/>
  <c r="M349" i="11"/>
  <c r="N353" i="11"/>
  <c r="P353" i="11" s="1"/>
  <c r="H168" i="11"/>
  <c r="H155" i="11" s="1"/>
  <c r="H154" i="11" s="1"/>
  <c r="N169" i="11"/>
  <c r="N168" i="11" s="1"/>
  <c r="N155" i="11" s="1"/>
  <c r="N154" i="11" s="1"/>
  <c r="F17" i="11"/>
  <c r="F16" i="11" s="1"/>
  <c r="N24" i="10"/>
  <c r="H24" i="10"/>
  <c r="K331" i="10"/>
  <c r="H331" i="10"/>
  <c r="P419" i="11" l="1"/>
  <c r="N411" i="11"/>
  <c r="P411" i="11" s="1"/>
  <c r="P415" i="11"/>
  <c r="M388" i="11"/>
  <c r="N349" i="11"/>
  <c r="N343" i="11" s="1"/>
  <c r="N342" i="11" s="1"/>
  <c r="M343" i="11"/>
  <c r="O343" i="11" s="1"/>
  <c r="O349" i="11"/>
  <c r="P345" i="11"/>
  <c r="P344" i="11"/>
  <c r="H192" i="11"/>
  <c r="H135" i="11" s="1"/>
  <c r="H17" i="11" s="1"/>
  <c r="H16" i="11" s="1"/>
  <c r="N135" i="11"/>
  <c r="M192" i="11"/>
  <c r="O206" i="11"/>
  <c r="P206" i="11" s="1"/>
  <c r="O291" i="11"/>
  <c r="P291" i="11" s="1"/>
  <c r="M290" i="11"/>
  <c r="M280" i="11"/>
  <c r="O281" i="11"/>
  <c r="P281" i="11" s="1"/>
  <c r="R49" i="11"/>
  <c r="N48" i="11"/>
  <c r="M48" i="11"/>
  <c r="M39" i="11" s="1"/>
  <c r="R253" i="11"/>
  <c r="L388" i="11"/>
  <c r="P209" i="11"/>
  <c r="L91" i="11"/>
  <c r="O91" i="11" s="1"/>
  <c r="P91" i="11" s="1"/>
  <c r="O92" i="11"/>
  <c r="P92" i="11" s="1"/>
  <c r="O49" i="11"/>
  <c r="P49" i="11" s="1"/>
  <c r="L39" i="11"/>
  <c r="O48" i="11"/>
  <c r="K17" i="11"/>
  <c r="K16" i="11" s="1"/>
  <c r="N215" i="11"/>
  <c r="P215" i="11" s="1"/>
  <c r="G17" i="11"/>
  <c r="G16" i="11" s="1"/>
  <c r="H21" i="10"/>
  <c r="M342" i="11" l="1"/>
  <c r="O342" i="11" s="1"/>
  <c r="P342" i="11" s="1"/>
  <c r="P349" i="11"/>
  <c r="N399" i="11"/>
  <c r="O388" i="11"/>
  <c r="P343" i="11"/>
  <c r="O192" i="11"/>
  <c r="P192" i="11" s="1"/>
  <c r="M135" i="11"/>
  <c r="O135" i="11" s="1"/>
  <c r="P135" i="11" s="1"/>
  <c r="M253" i="11"/>
  <c r="O290" i="11"/>
  <c r="P290" i="11" s="1"/>
  <c r="O280" i="11"/>
  <c r="P280" i="11" s="1"/>
  <c r="O253" i="11"/>
  <c r="P253" i="11" s="1"/>
  <c r="O39" i="11"/>
  <c r="L17" i="11"/>
  <c r="L16" i="11" s="1"/>
  <c r="P399" i="11"/>
  <c r="N388" i="11"/>
  <c r="P388" i="11" s="1"/>
  <c r="N39" i="11"/>
  <c r="P48" i="11"/>
  <c r="G347" i="10"/>
  <c r="M17" i="11" l="1"/>
  <c r="M16" i="11" s="1"/>
  <c r="O16" i="11" s="1"/>
  <c r="P39" i="11"/>
  <c r="N17" i="11"/>
  <c r="G114" i="10"/>
  <c r="H118" i="10"/>
  <c r="O17" i="11" l="1"/>
  <c r="P17" i="11" s="1"/>
  <c r="N16" i="11"/>
  <c r="P16" i="11" s="1"/>
  <c r="L335" i="10"/>
  <c r="L336" i="10"/>
  <c r="N340" i="10"/>
  <c r="N341" i="10"/>
  <c r="L340" i="10"/>
  <c r="L341" i="10"/>
  <c r="K340" i="10"/>
  <c r="K341" i="10"/>
  <c r="H285" i="10" l="1"/>
  <c r="N293" i="10"/>
  <c r="M293" i="10"/>
  <c r="H293" i="10"/>
  <c r="N271" i="10"/>
  <c r="M271" i="10"/>
  <c r="H271" i="10"/>
  <c r="N268" i="10"/>
  <c r="M268" i="10"/>
  <c r="H268" i="10"/>
  <c r="L176" i="10" l="1"/>
  <c r="N362" i="10"/>
  <c r="L362" i="10"/>
  <c r="L342" i="10" s="1"/>
  <c r="N139" i="10"/>
  <c r="L139" i="10"/>
  <c r="L49" i="10"/>
  <c r="N51" i="10"/>
  <c r="L51" i="10"/>
  <c r="N45" i="10"/>
  <c r="L45" i="10"/>
  <c r="I324" i="10"/>
  <c r="I324" i="9"/>
  <c r="I176" i="10"/>
  <c r="I155" i="10" s="1"/>
  <c r="H362" i="10"/>
  <c r="F362" i="10"/>
  <c r="F49" i="10"/>
  <c r="F20" i="10"/>
  <c r="H349" i="10"/>
  <c r="H353" i="10"/>
  <c r="F349" i="10"/>
  <c r="H55" i="10"/>
  <c r="N54" i="10"/>
  <c r="L54" i="10"/>
  <c r="N398" i="10" l="1"/>
  <c r="N397" i="10" s="1"/>
  <c r="N394" i="10" s="1"/>
  <c r="N393" i="10" s="1"/>
  <c r="L398" i="10"/>
  <c r="L397" i="10" s="1"/>
  <c r="H398" i="10"/>
  <c r="H397" i="10" s="1"/>
  <c r="L375" i="10"/>
  <c r="L376" i="10"/>
  <c r="H375" i="10"/>
  <c r="H376" i="10"/>
  <c r="L337" i="10"/>
  <c r="L338" i="10"/>
  <c r="K338" i="10"/>
  <c r="N285" i="10"/>
  <c r="L285" i="10"/>
  <c r="H176" i="10"/>
  <c r="H177" i="10"/>
  <c r="K153" i="10"/>
  <c r="H113" i="10"/>
  <c r="N110" i="10"/>
  <c r="L110" i="10"/>
  <c r="L55" i="10"/>
  <c r="L56" i="10"/>
  <c r="L421" i="10"/>
  <c r="M421" i="10"/>
  <c r="L420" i="10"/>
  <c r="L419" i="10"/>
  <c r="L415" i="10" s="1"/>
  <c r="I417" i="10"/>
  <c r="N416" i="10"/>
  <c r="I416" i="10"/>
  <c r="I415" i="10" s="1"/>
  <c r="F416" i="10"/>
  <c r="F415" i="10"/>
  <c r="M414" i="10"/>
  <c r="L414" i="10"/>
  <c r="N414" i="10" s="1"/>
  <c r="M413" i="10"/>
  <c r="L413" i="10"/>
  <c r="H413" i="10"/>
  <c r="N413" i="10" s="1"/>
  <c r="M412" i="10"/>
  <c r="M411" i="10" s="1"/>
  <c r="K412" i="10"/>
  <c r="I412" i="10"/>
  <c r="I411" i="10" s="1"/>
  <c r="G412" i="10"/>
  <c r="F412" i="10"/>
  <c r="F411" i="10" s="1"/>
  <c r="K411" i="10"/>
  <c r="J411" i="10"/>
  <c r="G411" i="10"/>
  <c r="N409" i="10"/>
  <c r="M409" i="10"/>
  <c r="L409" i="10"/>
  <c r="L405" i="10" s="1"/>
  <c r="K409" i="10"/>
  <c r="I409" i="10"/>
  <c r="H409" i="10"/>
  <c r="G409" i="10"/>
  <c r="G405" i="10" s="1"/>
  <c r="F409" i="10"/>
  <c r="F405" i="10" s="1"/>
  <c r="M408" i="10"/>
  <c r="N408" i="10" s="1"/>
  <c r="M407" i="10"/>
  <c r="N407" i="10" s="1"/>
  <c r="L406" i="10"/>
  <c r="I406" i="10"/>
  <c r="M405" i="10"/>
  <c r="H405" i="10"/>
  <c r="N404" i="10"/>
  <c r="M404" i="10"/>
  <c r="L404" i="10"/>
  <c r="H404" i="10"/>
  <c r="N403" i="10"/>
  <c r="M403" i="10"/>
  <c r="L403" i="10"/>
  <c r="M402" i="10"/>
  <c r="M401" i="10" s="1"/>
  <c r="M400" i="10" s="1"/>
  <c r="L402" i="10"/>
  <c r="L401" i="10" s="1"/>
  <c r="L400" i="10" s="1"/>
  <c r="H402" i="10"/>
  <c r="K401" i="10"/>
  <c r="I401" i="10"/>
  <c r="I400" i="10" s="1"/>
  <c r="H401" i="10"/>
  <c r="H400" i="10" s="1"/>
  <c r="G401" i="10"/>
  <c r="G400" i="10" s="1"/>
  <c r="F401" i="10"/>
  <c r="F400" i="10" s="1"/>
  <c r="K400" i="10"/>
  <c r="J400" i="10"/>
  <c r="J399" i="10" s="1"/>
  <c r="M398" i="10"/>
  <c r="M397" i="10"/>
  <c r="M394" i="10" s="1"/>
  <c r="M393" i="10" s="1"/>
  <c r="K397" i="10"/>
  <c r="I397" i="10"/>
  <c r="G397" i="10"/>
  <c r="F397" i="10"/>
  <c r="N396" i="10"/>
  <c r="L396" i="10"/>
  <c r="L395" i="10" s="1"/>
  <c r="H396" i="10"/>
  <c r="F396" i="10"/>
  <c r="N395" i="10"/>
  <c r="M395" i="10"/>
  <c r="K395" i="10"/>
  <c r="I395" i="10"/>
  <c r="H395" i="10"/>
  <c r="G395" i="10"/>
  <c r="F395" i="10"/>
  <c r="F394" i="10" s="1"/>
  <c r="F393" i="10" s="1"/>
  <c r="K394" i="10"/>
  <c r="K393" i="10" s="1"/>
  <c r="J394" i="10"/>
  <c r="I394" i="10"/>
  <c r="I393" i="10" s="1"/>
  <c r="J393" i="10"/>
  <c r="M392" i="10"/>
  <c r="L392" i="10"/>
  <c r="H392" i="10"/>
  <c r="N392" i="10" s="1"/>
  <c r="N391" i="10" s="1"/>
  <c r="N390" i="10" s="1"/>
  <c r="N389" i="10" s="1"/>
  <c r="M391" i="10"/>
  <c r="L391" i="10"/>
  <c r="K391" i="10"/>
  <c r="I391" i="10"/>
  <c r="I390" i="10" s="1"/>
  <c r="I389" i="10" s="1"/>
  <c r="G391" i="10"/>
  <c r="F391" i="10"/>
  <c r="F390" i="10" s="1"/>
  <c r="F389" i="10" s="1"/>
  <c r="M390" i="10"/>
  <c r="M389" i="10" s="1"/>
  <c r="L390" i="10"/>
  <c r="K390" i="10"/>
  <c r="K389" i="10" s="1"/>
  <c r="J390" i="10"/>
  <c r="J389" i="10" s="1"/>
  <c r="J388" i="10" s="1"/>
  <c r="G390" i="10"/>
  <c r="G389" i="10" s="1"/>
  <c r="L389" i="10"/>
  <c r="N387" i="10"/>
  <c r="M387" i="10"/>
  <c r="L387" i="10"/>
  <c r="H387" i="10"/>
  <c r="N386" i="10"/>
  <c r="M386" i="10"/>
  <c r="L386" i="10"/>
  <c r="H386" i="10"/>
  <c r="N385" i="10"/>
  <c r="M385" i="10"/>
  <c r="L385" i="10"/>
  <c r="H385" i="10"/>
  <c r="M384" i="10"/>
  <c r="L384" i="10"/>
  <c r="H384" i="10"/>
  <c r="H383" i="10" s="1"/>
  <c r="H382" i="10" s="1"/>
  <c r="H381" i="10" s="1"/>
  <c r="M383" i="10"/>
  <c r="L383" i="10"/>
  <c r="K383" i="10"/>
  <c r="I383" i="10"/>
  <c r="G383" i="10"/>
  <c r="G382" i="10" s="1"/>
  <c r="F383" i="10"/>
  <c r="L382" i="10"/>
  <c r="K382" i="10"/>
  <c r="I382" i="10"/>
  <c r="I381" i="10" s="1"/>
  <c r="F382" i="10"/>
  <c r="L381" i="10"/>
  <c r="K381" i="10"/>
  <c r="J381" i="10"/>
  <c r="F381" i="10"/>
  <c r="M380" i="10"/>
  <c r="L380" i="10"/>
  <c r="H380" i="10"/>
  <c r="N380" i="10" s="1"/>
  <c r="N379" i="10" s="1"/>
  <c r="N378" i="10" s="1"/>
  <c r="N377" i="10" s="1"/>
  <c r="M379" i="10"/>
  <c r="L379" i="10"/>
  <c r="K379" i="10"/>
  <c r="I379" i="10"/>
  <c r="G379" i="10"/>
  <c r="F379" i="10"/>
  <c r="M378" i="10"/>
  <c r="L378" i="10"/>
  <c r="K378" i="10"/>
  <c r="I378" i="10"/>
  <c r="I377" i="10" s="1"/>
  <c r="G378" i="10"/>
  <c r="F378" i="10"/>
  <c r="F377" i="10" s="1"/>
  <c r="M377" i="10"/>
  <c r="L377" i="10"/>
  <c r="K377" i="10"/>
  <c r="J377" i="10"/>
  <c r="G377" i="10"/>
  <c r="M376" i="10"/>
  <c r="N376" i="10"/>
  <c r="G375" i="10"/>
  <c r="M375" i="10" s="1"/>
  <c r="G374" i="10"/>
  <c r="M373" i="10"/>
  <c r="L372" i="10"/>
  <c r="L371" i="10" s="1"/>
  <c r="L370" i="10" s="1"/>
  <c r="H372" i="10"/>
  <c r="N372" i="10" s="1"/>
  <c r="M372" i="10"/>
  <c r="M371" i="10" s="1"/>
  <c r="K371" i="10"/>
  <c r="I371" i="10"/>
  <c r="H371" i="10"/>
  <c r="H370" i="10" s="1"/>
  <c r="G371" i="10"/>
  <c r="F371" i="10"/>
  <c r="K370" i="10"/>
  <c r="I370" i="10"/>
  <c r="G370" i="10"/>
  <c r="F370" i="10"/>
  <c r="M369" i="10"/>
  <c r="L369" i="10"/>
  <c r="N369" i="10" s="1"/>
  <c r="N368" i="10" s="1"/>
  <c r="N367" i="10" s="1"/>
  <c r="H369" i="10"/>
  <c r="M368" i="10"/>
  <c r="M367" i="10" s="1"/>
  <c r="L368" i="10"/>
  <c r="K368" i="10"/>
  <c r="I368" i="10"/>
  <c r="H368" i="10"/>
  <c r="H367" i="10" s="1"/>
  <c r="G368" i="10"/>
  <c r="F368" i="10"/>
  <c r="L367" i="10"/>
  <c r="K367" i="10"/>
  <c r="I367" i="10"/>
  <c r="G367" i="10"/>
  <c r="F367" i="10"/>
  <c r="M366" i="10"/>
  <c r="M364" i="10" s="1"/>
  <c r="M363" i="10" s="1"/>
  <c r="L366" i="10"/>
  <c r="H366" i="10"/>
  <c r="N366" i="10" s="1"/>
  <c r="M365" i="10"/>
  <c r="L365" i="10"/>
  <c r="H365" i="10"/>
  <c r="N365" i="10" s="1"/>
  <c r="L364" i="10"/>
  <c r="K364" i="10"/>
  <c r="I364" i="10"/>
  <c r="H364" i="10"/>
  <c r="H363" i="10" s="1"/>
  <c r="G364" i="10"/>
  <c r="F364" i="10"/>
  <c r="L363" i="10"/>
  <c r="K363" i="10"/>
  <c r="I363" i="10"/>
  <c r="G363" i="10"/>
  <c r="F363" i="10"/>
  <c r="K362" i="10"/>
  <c r="J362" i="10"/>
  <c r="I362" i="10"/>
  <c r="N361" i="10"/>
  <c r="N360" i="10" s="1"/>
  <c r="M361" i="10"/>
  <c r="H361" i="10"/>
  <c r="M360" i="10"/>
  <c r="L360" i="10"/>
  <c r="K360" i="10"/>
  <c r="I360" i="10"/>
  <c r="H360" i="10"/>
  <c r="G360" i="10"/>
  <c r="F360" i="10"/>
  <c r="M359" i="10"/>
  <c r="M358" i="10" s="1"/>
  <c r="M357" i="10" s="1"/>
  <c r="M356" i="10" s="1"/>
  <c r="L359" i="10"/>
  <c r="H359" i="10"/>
  <c r="N359" i="10" s="1"/>
  <c r="N358" i="10" s="1"/>
  <c r="N357" i="10" s="1"/>
  <c r="N356" i="10" s="1"/>
  <c r="L358" i="10"/>
  <c r="K358" i="10"/>
  <c r="I358" i="10"/>
  <c r="H358" i="10"/>
  <c r="G358" i="10"/>
  <c r="G357" i="10" s="1"/>
  <c r="G356" i="10" s="1"/>
  <c r="F358" i="10"/>
  <c r="L357" i="10"/>
  <c r="K357" i="10"/>
  <c r="I357" i="10"/>
  <c r="H357" i="10"/>
  <c r="H356" i="10" s="1"/>
  <c r="F357" i="10"/>
  <c r="F356" i="10" s="1"/>
  <c r="L356" i="10"/>
  <c r="K356" i="10"/>
  <c r="J356" i="10"/>
  <c r="I356" i="10"/>
  <c r="N355" i="10"/>
  <c r="M355" i="10"/>
  <c r="L355" i="10"/>
  <c r="M354" i="10"/>
  <c r="N354" i="10" s="1"/>
  <c r="K353" i="10"/>
  <c r="I353" i="10"/>
  <c r="G353" i="10"/>
  <c r="F353" i="10"/>
  <c r="L353" i="10" s="1"/>
  <c r="L349" i="10" s="1"/>
  <c r="M351" i="10"/>
  <c r="L351" i="10"/>
  <c r="H351" i="10"/>
  <c r="N351" i="10" s="1"/>
  <c r="N350" i="10" s="1"/>
  <c r="M350" i="10"/>
  <c r="L350" i="10"/>
  <c r="K350" i="10"/>
  <c r="I350" i="10"/>
  <c r="H350" i="10"/>
  <c r="G350" i="10"/>
  <c r="F350" i="10"/>
  <c r="K349" i="10"/>
  <c r="I349" i="10"/>
  <c r="G349" i="10"/>
  <c r="M347" i="10"/>
  <c r="L347" i="10"/>
  <c r="H347" i="10"/>
  <c r="N347" i="10" s="1"/>
  <c r="L346" i="10"/>
  <c r="L345" i="10" s="1"/>
  <c r="L344" i="10" s="1"/>
  <c r="K345" i="10"/>
  <c r="I345" i="10"/>
  <c r="F345" i="10"/>
  <c r="F344" i="10" s="1"/>
  <c r="K344" i="10"/>
  <c r="K343" i="10" s="1"/>
  <c r="K342" i="10" s="1"/>
  <c r="I344" i="10"/>
  <c r="I343" i="10" s="1"/>
  <c r="I342" i="10" s="1"/>
  <c r="J343" i="10"/>
  <c r="J342" i="10" s="1"/>
  <c r="N339" i="10"/>
  <c r="M339" i="10"/>
  <c r="L339" i="10"/>
  <c r="H338" i="10"/>
  <c r="H337" i="10" s="1"/>
  <c r="N337" i="10" s="1"/>
  <c r="N336" i="10" s="1"/>
  <c r="G337" i="10"/>
  <c r="F337" i="10"/>
  <c r="J335" i="10"/>
  <c r="N334" i="10"/>
  <c r="M334" i="10"/>
  <c r="L334" i="10"/>
  <c r="H334" i="10"/>
  <c r="N333" i="10"/>
  <c r="M333" i="10"/>
  <c r="H333" i="10"/>
  <c r="G333" i="10"/>
  <c r="L332" i="10"/>
  <c r="G332" i="10"/>
  <c r="M331" i="10"/>
  <c r="M330" i="10" s="1"/>
  <c r="L331" i="10"/>
  <c r="H330" i="10"/>
  <c r="L330" i="10"/>
  <c r="I330" i="10"/>
  <c r="G330" i="10"/>
  <c r="F330" i="10"/>
  <c r="M329" i="10"/>
  <c r="L329" i="10"/>
  <c r="H329" i="10"/>
  <c r="N329" i="10" s="1"/>
  <c r="M328" i="10"/>
  <c r="L328" i="10"/>
  <c r="L327" i="10" s="1"/>
  <c r="L326" i="10" s="1"/>
  <c r="L325" i="10" s="1"/>
  <c r="H328" i="10"/>
  <c r="N328" i="10" s="1"/>
  <c r="K327" i="10"/>
  <c r="I327" i="10"/>
  <c r="G327" i="10"/>
  <c r="G326" i="10" s="1"/>
  <c r="G325" i="10" s="1"/>
  <c r="F327" i="10"/>
  <c r="F326" i="10" s="1"/>
  <c r="F325" i="10" s="1"/>
  <c r="J326" i="10"/>
  <c r="I326" i="10"/>
  <c r="J325" i="10"/>
  <c r="J324" i="10" s="1"/>
  <c r="I325" i="10"/>
  <c r="N323" i="10"/>
  <c r="M323" i="10"/>
  <c r="L323" i="10"/>
  <c r="N322" i="10"/>
  <c r="K322" i="10"/>
  <c r="J322" i="10"/>
  <c r="I322" i="10"/>
  <c r="L322" i="10" s="1"/>
  <c r="L320" i="10"/>
  <c r="L319" i="10" s="1"/>
  <c r="L318" i="10" s="1"/>
  <c r="H320" i="10"/>
  <c r="H319" i="10" s="1"/>
  <c r="N319" i="10" s="1"/>
  <c r="N318" i="10" s="1"/>
  <c r="N317" i="10" s="1"/>
  <c r="M320" i="10"/>
  <c r="M319" i="10" s="1"/>
  <c r="M318" i="10" s="1"/>
  <c r="K319" i="10"/>
  <c r="I319" i="10"/>
  <c r="G319" i="10"/>
  <c r="F319" i="10"/>
  <c r="F318" i="10" s="1"/>
  <c r="F317" i="10" s="1"/>
  <c r="K318" i="10"/>
  <c r="I318" i="10"/>
  <c r="G318" i="10"/>
  <c r="G317" i="10" s="1"/>
  <c r="K317" i="10"/>
  <c r="N314" i="10"/>
  <c r="M314" i="10"/>
  <c r="L314" i="10"/>
  <c r="K314" i="10"/>
  <c r="I314" i="10"/>
  <c r="I313" i="10" s="1"/>
  <c r="I312" i="10" s="1"/>
  <c r="H314" i="10"/>
  <c r="G314" i="10"/>
  <c r="G313" i="10" s="1"/>
  <c r="G312" i="10" s="1"/>
  <c r="F314" i="10"/>
  <c r="N313" i="10"/>
  <c r="N312" i="10" s="1"/>
  <c r="M313" i="10"/>
  <c r="L313" i="10"/>
  <c r="L312" i="10" s="1"/>
  <c r="K313" i="10"/>
  <c r="H313" i="10"/>
  <c r="H312" i="10" s="1"/>
  <c r="F313" i="10"/>
  <c r="M312" i="10"/>
  <c r="K312" i="10"/>
  <c r="J312" i="10"/>
  <c r="F312" i="10"/>
  <c r="N311" i="10"/>
  <c r="M311" i="10"/>
  <c r="L311" i="10"/>
  <c r="K311" i="10"/>
  <c r="N310" i="10"/>
  <c r="L310" i="10"/>
  <c r="K310" i="10"/>
  <c r="J310" i="10"/>
  <c r="M310" i="10" s="1"/>
  <c r="M303" i="10" s="1"/>
  <c r="M302" i="10" s="1"/>
  <c r="N307" i="10"/>
  <c r="M307" i="10"/>
  <c r="L307" i="10"/>
  <c r="K307" i="10"/>
  <c r="I307" i="10"/>
  <c r="H307" i="10"/>
  <c r="G307" i="10"/>
  <c r="F307" i="10"/>
  <c r="M306" i="10"/>
  <c r="L306" i="10"/>
  <c r="H306" i="10"/>
  <c r="L305" i="10"/>
  <c r="H305" i="10"/>
  <c r="N305" i="10" s="1"/>
  <c r="M304" i="10"/>
  <c r="K304" i="10"/>
  <c r="I304" i="10"/>
  <c r="I303" i="10" s="1"/>
  <c r="I302" i="10" s="1"/>
  <c r="G304" i="10"/>
  <c r="F304" i="10"/>
  <c r="F303" i="10" s="1"/>
  <c r="F302" i="10" s="1"/>
  <c r="K303" i="10"/>
  <c r="K302" i="10" s="1"/>
  <c r="K301" i="10" s="1"/>
  <c r="J303" i="10"/>
  <c r="J302" i="10" s="1"/>
  <c r="G303" i="10"/>
  <c r="G302" i="10" s="1"/>
  <c r="N300" i="10"/>
  <c r="M300" i="10"/>
  <c r="H300" i="10"/>
  <c r="N299" i="10"/>
  <c r="M299" i="10"/>
  <c r="H299" i="10"/>
  <c r="M298" i="10"/>
  <c r="H298" i="10"/>
  <c r="N297" i="10"/>
  <c r="M297" i="10"/>
  <c r="H297" i="10"/>
  <c r="N295" i="10"/>
  <c r="M295" i="10"/>
  <c r="L295" i="10"/>
  <c r="K295" i="10"/>
  <c r="I295" i="10"/>
  <c r="H295" i="10"/>
  <c r="G295" i="10"/>
  <c r="F295" i="10"/>
  <c r="N294" i="10"/>
  <c r="M294" i="10"/>
  <c r="L294" i="10"/>
  <c r="K294" i="10"/>
  <c r="I294" i="10"/>
  <c r="H294" i="10"/>
  <c r="G294" i="10"/>
  <c r="F294" i="10"/>
  <c r="N292" i="10"/>
  <c r="M292" i="10"/>
  <c r="L292" i="10"/>
  <c r="K292" i="10"/>
  <c r="I292" i="10"/>
  <c r="H292" i="10"/>
  <c r="G292" i="10"/>
  <c r="F292" i="10"/>
  <c r="N291" i="10"/>
  <c r="M291" i="10"/>
  <c r="L291" i="10"/>
  <c r="K291" i="10"/>
  <c r="I291" i="10"/>
  <c r="I290" i="10" s="1"/>
  <c r="H291" i="10"/>
  <c r="G291" i="10"/>
  <c r="G290" i="10" s="1"/>
  <c r="F291" i="10"/>
  <c r="F290" i="10" s="1"/>
  <c r="N290" i="10"/>
  <c r="M290" i="10"/>
  <c r="L290" i="10"/>
  <c r="K290" i="10"/>
  <c r="J290" i="10"/>
  <c r="H290" i="10"/>
  <c r="N288" i="10"/>
  <c r="N287" i="10" s="1"/>
  <c r="N286" i="10" s="1"/>
  <c r="M288" i="10"/>
  <c r="M287" i="10" s="1"/>
  <c r="M286" i="10" s="1"/>
  <c r="L288" i="10"/>
  <c r="K288" i="10"/>
  <c r="I288" i="10"/>
  <c r="I287" i="10" s="1"/>
  <c r="I286" i="10" s="1"/>
  <c r="H288" i="10"/>
  <c r="H287" i="10" s="1"/>
  <c r="H286" i="10" s="1"/>
  <c r="G288" i="10"/>
  <c r="F288" i="10"/>
  <c r="L287" i="10"/>
  <c r="L286" i="10" s="1"/>
  <c r="K287" i="10"/>
  <c r="G287" i="10"/>
  <c r="G286" i="10" s="1"/>
  <c r="F287" i="10"/>
  <c r="F286" i="10" s="1"/>
  <c r="K286" i="10"/>
  <c r="J286" i="10"/>
  <c r="M285" i="10"/>
  <c r="M284" i="10" s="1"/>
  <c r="L284" i="10"/>
  <c r="K284" i="10"/>
  <c r="I284" i="10"/>
  <c r="H284" i="10"/>
  <c r="G284" i="10"/>
  <c r="F284" i="10"/>
  <c r="M283" i="10"/>
  <c r="M282" i="10" s="1"/>
  <c r="L283" i="10"/>
  <c r="H283" i="10"/>
  <c r="N283" i="10" s="1"/>
  <c r="N282" i="10" s="1"/>
  <c r="L282" i="10"/>
  <c r="K282" i="10"/>
  <c r="I282" i="10"/>
  <c r="G282" i="10"/>
  <c r="F282" i="10"/>
  <c r="K281" i="10"/>
  <c r="I281" i="10"/>
  <c r="G281" i="10"/>
  <c r="G280" i="10" s="1"/>
  <c r="F281" i="10"/>
  <c r="F280" i="10" s="1"/>
  <c r="K280" i="10"/>
  <c r="I280" i="10"/>
  <c r="N279" i="10"/>
  <c r="M279" i="10"/>
  <c r="M278" i="10" s="1"/>
  <c r="M277" i="10" s="1"/>
  <c r="M276" i="10" s="1"/>
  <c r="L279" i="10"/>
  <c r="N278" i="10"/>
  <c r="L278" i="10"/>
  <c r="L277" i="10" s="1"/>
  <c r="L276" i="10" s="1"/>
  <c r="K278" i="10"/>
  <c r="K277" i="10" s="1"/>
  <c r="K276" i="10" s="1"/>
  <c r="I278" i="10"/>
  <c r="H278" i="10"/>
  <c r="G278" i="10"/>
  <c r="G277" i="10" s="1"/>
  <c r="G276" i="10" s="1"/>
  <c r="F278" i="10"/>
  <c r="N277" i="10"/>
  <c r="N276" i="10" s="1"/>
  <c r="I277" i="10"/>
  <c r="H277" i="10"/>
  <c r="F277" i="10"/>
  <c r="F276" i="10" s="1"/>
  <c r="I276" i="10"/>
  <c r="H276" i="10"/>
  <c r="M275" i="10"/>
  <c r="H275" i="10"/>
  <c r="N275" i="10" s="1"/>
  <c r="M274" i="10"/>
  <c r="H274" i="10"/>
  <c r="N274" i="10" s="1"/>
  <c r="N273" i="10"/>
  <c r="M273" i="10"/>
  <c r="H273" i="10"/>
  <c r="M272" i="10"/>
  <c r="H272" i="10"/>
  <c r="N272" i="10" s="1"/>
  <c r="L271" i="10"/>
  <c r="H270" i="10"/>
  <c r="H269" i="10" s="1"/>
  <c r="F271" i="10"/>
  <c r="N270" i="10"/>
  <c r="N269" i="10" s="1"/>
  <c r="M270" i="10"/>
  <c r="M269" i="10" s="1"/>
  <c r="L270" i="10"/>
  <c r="L269" i="10" s="1"/>
  <c r="K270" i="10"/>
  <c r="I270" i="10"/>
  <c r="I269" i="10" s="1"/>
  <c r="G270" i="10"/>
  <c r="G269" i="10" s="1"/>
  <c r="F270" i="10"/>
  <c r="F269" i="10" s="1"/>
  <c r="K269" i="10"/>
  <c r="L268" i="10"/>
  <c r="H267" i="10"/>
  <c r="H266" i="10" s="1"/>
  <c r="F268" i="10"/>
  <c r="N267" i="10"/>
  <c r="N266" i="10" s="1"/>
  <c r="M267" i="10"/>
  <c r="M266" i="10" s="1"/>
  <c r="L267" i="10"/>
  <c r="L266" i="10" s="1"/>
  <c r="K267" i="10"/>
  <c r="K266" i="10" s="1"/>
  <c r="I267" i="10"/>
  <c r="G267" i="10"/>
  <c r="G266" i="10" s="1"/>
  <c r="F267" i="10"/>
  <c r="F266" i="10" s="1"/>
  <c r="I266" i="10"/>
  <c r="N264" i="10"/>
  <c r="M264" i="10"/>
  <c r="L264" i="10"/>
  <c r="K264" i="10"/>
  <c r="I264" i="10"/>
  <c r="H264" i="10"/>
  <c r="G264" i="10"/>
  <c r="F264" i="10"/>
  <c r="N263" i="10"/>
  <c r="M263" i="10"/>
  <c r="L263" i="10"/>
  <c r="N262" i="10"/>
  <c r="M262" i="10"/>
  <c r="L262" i="10"/>
  <c r="M261" i="10"/>
  <c r="M260" i="10" s="1"/>
  <c r="L261" i="10"/>
  <c r="L260" i="10" s="1"/>
  <c r="H261" i="10"/>
  <c r="H260" i="10" s="1"/>
  <c r="H255" i="10" s="1"/>
  <c r="K260" i="10"/>
  <c r="I260" i="10"/>
  <c r="G260" i="10"/>
  <c r="G255" i="10" s="1"/>
  <c r="F260" i="10"/>
  <c r="N258" i="10"/>
  <c r="M258" i="10"/>
  <c r="L258" i="10"/>
  <c r="M257" i="10"/>
  <c r="L257" i="10"/>
  <c r="H257" i="10"/>
  <c r="N257" i="10" s="1"/>
  <c r="M256" i="10"/>
  <c r="K256" i="10"/>
  <c r="K255" i="10" s="1"/>
  <c r="I256" i="10"/>
  <c r="H256" i="10"/>
  <c r="G256" i="10"/>
  <c r="F256" i="10"/>
  <c r="F255" i="10"/>
  <c r="J254" i="10"/>
  <c r="J253" i="10"/>
  <c r="M252" i="10"/>
  <c r="M251" i="10" s="1"/>
  <c r="M250" i="10" s="1"/>
  <c r="M249" i="10" s="1"/>
  <c r="L252" i="10"/>
  <c r="L251" i="10" s="1"/>
  <c r="L250" i="10" s="1"/>
  <c r="L249" i="10" s="1"/>
  <c r="H252" i="10"/>
  <c r="N252" i="10" s="1"/>
  <c r="N251" i="10" s="1"/>
  <c r="N250" i="10" s="1"/>
  <c r="N249" i="10" s="1"/>
  <c r="K251" i="10"/>
  <c r="K250" i="10" s="1"/>
  <c r="K249" i="10" s="1"/>
  <c r="I251" i="10"/>
  <c r="G251" i="10"/>
  <c r="G250" i="10" s="1"/>
  <c r="G249" i="10" s="1"/>
  <c r="F251" i="10"/>
  <c r="F250" i="10" s="1"/>
  <c r="F249" i="10" s="1"/>
  <c r="I250" i="10"/>
  <c r="I249" i="10" s="1"/>
  <c r="J249" i="10"/>
  <c r="N247" i="10"/>
  <c r="N246" i="10" s="1"/>
  <c r="N245" i="10" s="1"/>
  <c r="M247" i="10"/>
  <c r="L247" i="10"/>
  <c r="L246" i="10" s="1"/>
  <c r="L245" i="10" s="1"/>
  <c r="K247" i="10"/>
  <c r="I247" i="10"/>
  <c r="I246" i="10" s="1"/>
  <c r="I245" i="10" s="1"/>
  <c r="H247" i="10"/>
  <c r="G247" i="10"/>
  <c r="G246" i="10" s="1"/>
  <c r="G245" i="10" s="1"/>
  <c r="F247" i="10"/>
  <c r="M246" i="10"/>
  <c r="M245" i="10" s="1"/>
  <c r="K246" i="10"/>
  <c r="K245" i="10" s="1"/>
  <c r="H246" i="10"/>
  <c r="H245" i="10" s="1"/>
  <c r="F246" i="10"/>
  <c r="J245" i="10"/>
  <c r="J244" i="10" s="1"/>
  <c r="F245" i="10"/>
  <c r="M243" i="10"/>
  <c r="L243" i="10"/>
  <c r="N243" i="10" s="1"/>
  <c r="N242" i="10" s="1"/>
  <c r="H243" i="10"/>
  <c r="M242" i="10"/>
  <c r="L242" i="10"/>
  <c r="G242" i="10"/>
  <c r="H242" i="10" s="1"/>
  <c r="H239" i="10" s="1"/>
  <c r="H238" i="10" s="1"/>
  <c r="M241" i="10"/>
  <c r="M240" i="10" s="1"/>
  <c r="M239" i="10" s="1"/>
  <c r="M238" i="10" s="1"/>
  <c r="L241" i="10"/>
  <c r="K241" i="10"/>
  <c r="K240" i="10" s="1"/>
  <c r="K239" i="10" s="1"/>
  <c r="K238" i="10" s="1"/>
  <c r="H241" i="10"/>
  <c r="L240" i="10"/>
  <c r="I240" i="10"/>
  <c r="I239" i="10" s="1"/>
  <c r="I238" i="10" s="1"/>
  <c r="H240" i="10"/>
  <c r="G240" i="10"/>
  <c r="G239" i="10" s="1"/>
  <c r="G238" i="10" s="1"/>
  <c r="F240" i="10"/>
  <c r="F239" i="10" s="1"/>
  <c r="F238" i="10" s="1"/>
  <c r="L239" i="10"/>
  <c r="L238" i="10" s="1"/>
  <c r="J238" i="10"/>
  <c r="N237" i="10"/>
  <c r="M237" i="10"/>
  <c r="M236" i="10" s="1"/>
  <c r="M235" i="10" s="1"/>
  <c r="M234" i="10" s="1"/>
  <c r="L237" i="10"/>
  <c r="N236" i="10"/>
  <c r="N235" i="10" s="1"/>
  <c r="N234" i="10" s="1"/>
  <c r="L236" i="10"/>
  <c r="K236" i="10"/>
  <c r="K235" i="10" s="1"/>
  <c r="K234" i="10" s="1"/>
  <c r="I236" i="10"/>
  <c r="I235" i="10" s="1"/>
  <c r="I234" i="10" s="1"/>
  <c r="H236" i="10"/>
  <c r="G236" i="10"/>
  <c r="F236" i="10"/>
  <c r="F235" i="10" s="1"/>
  <c r="F234" i="10" s="1"/>
  <c r="L235" i="10"/>
  <c r="L234" i="10" s="1"/>
  <c r="H235" i="10"/>
  <c r="H234" i="10" s="1"/>
  <c r="G235" i="10"/>
  <c r="G234" i="10" s="1"/>
  <c r="J234" i="10"/>
  <c r="J209" i="10" s="1"/>
  <c r="M233" i="10"/>
  <c r="H233" i="10"/>
  <c r="N233" i="10" s="1"/>
  <c r="N232" i="10"/>
  <c r="G232" i="10"/>
  <c r="M228" i="10"/>
  <c r="M227" i="10" s="1"/>
  <c r="L228" i="10"/>
  <c r="H228" i="10"/>
  <c r="N228" i="10" s="1"/>
  <c r="N227" i="10" s="1"/>
  <c r="N226" i="10" s="1"/>
  <c r="N225" i="10" s="1"/>
  <c r="L227" i="10"/>
  <c r="K227" i="10"/>
  <c r="I227" i="10"/>
  <c r="H227" i="10"/>
  <c r="H226" i="10" s="1"/>
  <c r="H225" i="10" s="1"/>
  <c r="G227" i="10"/>
  <c r="F227" i="10"/>
  <c r="L226" i="10"/>
  <c r="L225" i="10" s="1"/>
  <c r="K226" i="10"/>
  <c r="K225" i="10" s="1"/>
  <c r="I226" i="10"/>
  <c r="F226" i="10"/>
  <c r="F225" i="10" s="1"/>
  <c r="J225" i="10"/>
  <c r="I225" i="10"/>
  <c r="N222" i="10"/>
  <c r="M222" i="10"/>
  <c r="L222" i="10"/>
  <c r="K222" i="10"/>
  <c r="I222" i="10"/>
  <c r="H222" i="10"/>
  <c r="G222" i="10"/>
  <c r="F222" i="10"/>
  <c r="N221" i="10"/>
  <c r="M221" i="10"/>
  <c r="L221" i="10"/>
  <c r="K221" i="10"/>
  <c r="I221" i="10"/>
  <c r="H221" i="10"/>
  <c r="G221" i="10"/>
  <c r="F221" i="10"/>
  <c r="N220" i="10"/>
  <c r="M220" i="10"/>
  <c r="L220" i="10"/>
  <c r="K220" i="10"/>
  <c r="I220" i="10"/>
  <c r="H220" i="10"/>
  <c r="G220" i="10"/>
  <c r="F220" i="10"/>
  <c r="M219" i="10"/>
  <c r="L219" i="10"/>
  <c r="K219" i="10"/>
  <c r="H219" i="10"/>
  <c r="N219" i="10" s="1"/>
  <c r="L218" i="10"/>
  <c r="K218" i="10"/>
  <c r="G218" i="10"/>
  <c r="M218" i="10" s="1"/>
  <c r="M217" i="10"/>
  <c r="M216" i="10" s="1"/>
  <c r="L217" i="10"/>
  <c r="K217" i="10"/>
  <c r="H217" i="10"/>
  <c r="N216" i="10"/>
  <c r="L216" i="10"/>
  <c r="J216" i="10"/>
  <c r="K216" i="10" s="1"/>
  <c r="K215" i="10" s="1"/>
  <c r="K214" i="10" s="1"/>
  <c r="G216" i="10"/>
  <c r="H216" i="10" s="1"/>
  <c r="I215" i="10"/>
  <c r="F215" i="10"/>
  <c r="F214" i="10" s="1"/>
  <c r="J214" i="10"/>
  <c r="I214" i="10"/>
  <c r="N213" i="10"/>
  <c r="M213" i="10"/>
  <c r="K213" i="10"/>
  <c r="H213" i="10"/>
  <c r="N212" i="10"/>
  <c r="M212" i="10"/>
  <c r="K212" i="10"/>
  <c r="J212" i="10"/>
  <c r="H212" i="10"/>
  <c r="J211" i="10"/>
  <c r="H211" i="10"/>
  <c r="H210" i="10"/>
  <c r="N208" i="10"/>
  <c r="M208" i="10"/>
  <c r="L208" i="10"/>
  <c r="H208" i="10"/>
  <c r="L207" i="10"/>
  <c r="G207" i="10"/>
  <c r="F206" i="10"/>
  <c r="L206" i="10" s="1"/>
  <c r="M205" i="10"/>
  <c r="L205" i="10"/>
  <c r="H205" i="10"/>
  <c r="N205" i="10" s="1"/>
  <c r="G204" i="10"/>
  <c r="G203" i="10" s="1"/>
  <c r="M203" i="10" s="1"/>
  <c r="F204" i="10"/>
  <c r="L204" i="10" s="1"/>
  <c r="N202" i="10"/>
  <c r="M202" i="10"/>
  <c r="L202" i="10"/>
  <c r="H202" i="10"/>
  <c r="N201" i="10"/>
  <c r="L201" i="10"/>
  <c r="H201" i="10"/>
  <c r="G201" i="10"/>
  <c r="M201" i="10" s="1"/>
  <c r="M200" i="10"/>
  <c r="L200" i="10"/>
  <c r="N200" i="10" s="1"/>
  <c r="H200" i="10"/>
  <c r="M199" i="10"/>
  <c r="L199" i="10"/>
  <c r="N199" i="10" s="1"/>
  <c r="H199" i="10"/>
  <c r="M198" i="10"/>
  <c r="M197" i="10" s="1"/>
  <c r="M196" i="10" s="1"/>
  <c r="H198" i="10"/>
  <c r="K197" i="10"/>
  <c r="I197" i="10"/>
  <c r="G197" i="10"/>
  <c r="G196" i="10" s="1"/>
  <c r="F197" i="10"/>
  <c r="L198" i="10" s="1"/>
  <c r="L197" i="10" s="1"/>
  <c r="K196" i="10"/>
  <c r="I196" i="10"/>
  <c r="N195" i="10"/>
  <c r="M195" i="10"/>
  <c r="L195" i="10"/>
  <c r="H195" i="10"/>
  <c r="N194" i="10"/>
  <c r="M194" i="10"/>
  <c r="L194" i="10"/>
  <c r="K194" i="10"/>
  <c r="K193" i="10" s="1"/>
  <c r="K192" i="10" s="1"/>
  <c r="I194" i="10"/>
  <c r="I193" i="10" s="1"/>
  <c r="H194" i="10"/>
  <c r="G194" i="10"/>
  <c r="G193" i="10" s="1"/>
  <c r="F194" i="10"/>
  <c r="N193" i="10"/>
  <c r="M193" i="10"/>
  <c r="L193" i="10"/>
  <c r="H193" i="10"/>
  <c r="F193" i="10"/>
  <c r="J192" i="10"/>
  <c r="M191" i="10"/>
  <c r="M190" i="10" s="1"/>
  <c r="M187" i="10" s="1"/>
  <c r="M186" i="10" s="1"/>
  <c r="L191" i="10"/>
  <c r="H191" i="10"/>
  <c r="L190" i="10"/>
  <c r="L187" i="10" s="1"/>
  <c r="L186" i="10" s="1"/>
  <c r="K190" i="10"/>
  <c r="I190" i="10"/>
  <c r="G190" i="10"/>
  <c r="G187" i="10" s="1"/>
  <c r="G186" i="10" s="1"/>
  <c r="F190" i="10"/>
  <c r="N188" i="10"/>
  <c r="M188" i="10"/>
  <c r="L188" i="10"/>
  <c r="K188" i="10"/>
  <c r="I188" i="10"/>
  <c r="I187" i="10" s="1"/>
  <c r="I186" i="10" s="1"/>
  <c r="H188" i="10"/>
  <c r="G188" i="10"/>
  <c r="F188" i="10"/>
  <c r="K187" i="10"/>
  <c r="F187" i="10"/>
  <c r="F186" i="10" s="1"/>
  <c r="K186" i="10"/>
  <c r="J186" i="10"/>
  <c r="M181" i="10"/>
  <c r="L181" i="10"/>
  <c r="K181" i="10"/>
  <c r="H181" i="10"/>
  <c r="L180" i="10"/>
  <c r="J180" i="10"/>
  <c r="I180" i="10"/>
  <c r="K180" i="10" s="1"/>
  <c r="H180" i="10"/>
  <c r="N180" i="10" s="1"/>
  <c r="G180" i="10"/>
  <c r="M180" i="10" s="1"/>
  <c r="F180" i="10"/>
  <c r="N179" i="10"/>
  <c r="M179" i="10"/>
  <c r="L179" i="10"/>
  <c r="H179" i="10"/>
  <c r="N178" i="10"/>
  <c r="M178" i="10"/>
  <c r="L178" i="10"/>
  <c r="H178" i="10"/>
  <c r="M177" i="10"/>
  <c r="L177" i="10"/>
  <c r="K177" i="10"/>
  <c r="K176" i="10" s="1"/>
  <c r="J176" i="10"/>
  <c r="N175" i="10"/>
  <c r="M175" i="10"/>
  <c r="N174" i="10"/>
  <c r="M174" i="10"/>
  <c r="M173" i="10"/>
  <c r="K173" i="10"/>
  <c r="N173" i="10" s="1"/>
  <c r="N172" i="10"/>
  <c r="M172" i="10"/>
  <c r="M171" i="10"/>
  <c r="M170" i="10" s="1"/>
  <c r="L171" i="10"/>
  <c r="L170" i="10" s="1"/>
  <c r="H171" i="10"/>
  <c r="K170" i="10"/>
  <c r="I170" i="10"/>
  <c r="G170" i="10"/>
  <c r="F170" i="10"/>
  <c r="M169" i="10"/>
  <c r="M168" i="10" s="1"/>
  <c r="L169" i="10"/>
  <c r="H169" i="10"/>
  <c r="N169" i="10" s="1"/>
  <c r="N168" i="10" s="1"/>
  <c r="L168" i="10"/>
  <c r="K168" i="10"/>
  <c r="I168" i="10"/>
  <c r="H168" i="10"/>
  <c r="G168" i="10"/>
  <c r="F168" i="10"/>
  <c r="M167" i="10"/>
  <c r="L167" i="10"/>
  <c r="L166" i="10" s="1"/>
  <c r="K167" i="10"/>
  <c r="H167" i="10"/>
  <c r="N167" i="10" s="1"/>
  <c r="N166" i="10" s="1"/>
  <c r="M166" i="10"/>
  <c r="K166" i="10"/>
  <c r="J166" i="10"/>
  <c r="I166" i="10"/>
  <c r="M165" i="10"/>
  <c r="L165" i="10"/>
  <c r="H165" i="10"/>
  <c r="N165" i="10" s="1"/>
  <c r="M164" i="10"/>
  <c r="L164" i="10"/>
  <c r="H164" i="10"/>
  <c r="N164" i="10" s="1"/>
  <c r="G164" i="10"/>
  <c r="L163" i="10"/>
  <c r="L162" i="10" s="1"/>
  <c r="G162" i="10"/>
  <c r="K162" i="10"/>
  <c r="I162" i="10"/>
  <c r="F162" i="10"/>
  <c r="M161" i="10"/>
  <c r="M160" i="10" s="1"/>
  <c r="L161" i="10"/>
  <c r="L160" i="10" s="1"/>
  <c r="H161" i="10"/>
  <c r="H160" i="10" s="1"/>
  <c r="K160" i="10"/>
  <c r="I160" i="10"/>
  <c r="G160" i="10"/>
  <c r="F160" i="10"/>
  <c r="L159" i="10"/>
  <c r="L158" i="10" s="1"/>
  <c r="K159" i="10"/>
  <c r="K158" i="10" s="1"/>
  <c r="H159" i="10"/>
  <c r="H158" i="10" s="1"/>
  <c r="M159" i="10"/>
  <c r="M158" i="10" s="1"/>
  <c r="J158" i="10"/>
  <c r="I158" i="10"/>
  <c r="I154" i="10" s="1"/>
  <c r="G158" i="10"/>
  <c r="F158" i="10"/>
  <c r="L157" i="10"/>
  <c r="L156" i="10" s="1"/>
  <c r="H157" i="10"/>
  <c r="H156" i="10" s="1"/>
  <c r="M157" i="10"/>
  <c r="M156" i="10" s="1"/>
  <c r="K156" i="10"/>
  <c r="I156" i="10"/>
  <c r="G156" i="10"/>
  <c r="F156" i="10"/>
  <c r="K155" i="10"/>
  <c r="K154" i="10" s="1"/>
  <c r="M153" i="10"/>
  <c r="K152" i="10"/>
  <c r="L153" i="10"/>
  <c r="L152" i="10" s="1"/>
  <c r="H153" i="10"/>
  <c r="M152" i="10"/>
  <c r="H152" i="10"/>
  <c r="G152" i="10"/>
  <c r="F152" i="10"/>
  <c r="M151" i="10"/>
  <c r="M150" i="10" s="1"/>
  <c r="K151" i="10"/>
  <c r="I151" i="10"/>
  <c r="H151" i="10"/>
  <c r="H150" i="10" s="1"/>
  <c r="K150" i="10"/>
  <c r="G150" i="10"/>
  <c r="F150" i="10"/>
  <c r="F144" i="10" s="1"/>
  <c r="F143" i="10" s="1"/>
  <c r="M149" i="10"/>
  <c r="M148" i="10" s="1"/>
  <c r="L149" i="10"/>
  <c r="K149" i="10"/>
  <c r="K148" i="10" s="1"/>
  <c r="H149" i="10"/>
  <c r="H148" i="10" s="1"/>
  <c r="L148" i="10"/>
  <c r="J148" i="10"/>
  <c r="J144" i="10" s="1"/>
  <c r="J143" i="10" s="1"/>
  <c r="I148" i="10"/>
  <c r="G148" i="10"/>
  <c r="F148" i="10"/>
  <c r="L147" i="10"/>
  <c r="H147" i="10"/>
  <c r="N147" i="10" s="1"/>
  <c r="M146" i="10"/>
  <c r="L146" i="10"/>
  <c r="K146" i="10"/>
  <c r="N146" i="10" s="1"/>
  <c r="H146" i="10"/>
  <c r="H145" i="10" s="1"/>
  <c r="L145" i="10"/>
  <c r="J145" i="10"/>
  <c r="I145" i="10"/>
  <c r="F145" i="10"/>
  <c r="N142" i="10"/>
  <c r="M142" i="10"/>
  <c r="H142" i="10"/>
  <c r="N141" i="10"/>
  <c r="M141" i="10"/>
  <c r="H141" i="10"/>
  <c r="G141" i="10"/>
  <c r="N140" i="10"/>
  <c r="M140" i="10"/>
  <c r="H140" i="10"/>
  <c r="G140" i="10"/>
  <c r="N138" i="10"/>
  <c r="N137" i="10" s="1"/>
  <c r="N136" i="10" s="1"/>
  <c r="M139" i="10"/>
  <c r="H139" i="10"/>
  <c r="H138" i="10" s="1"/>
  <c r="H137" i="10" s="1"/>
  <c r="H136" i="10" s="1"/>
  <c r="M138" i="10"/>
  <c r="L138" i="10"/>
  <c r="L137" i="10" s="1"/>
  <c r="L136" i="10" s="1"/>
  <c r="K138" i="10"/>
  <c r="K137" i="10" s="1"/>
  <c r="K136" i="10" s="1"/>
  <c r="I138" i="10"/>
  <c r="I137" i="10" s="1"/>
  <c r="I136" i="10" s="1"/>
  <c r="G138" i="10"/>
  <c r="F138" i="10"/>
  <c r="F137" i="10" s="1"/>
  <c r="F136" i="10" s="1"/>
  <c r="M137" i="10"/>
  <c r="G137" i="10"/>
  <c r="G136" i="10" s="1"/>
  <c r="M136" i="10" s="1"/>
  <c r="N134" i="10"/>
  <c r="M134" i="10"/>
  <c r="H134" i="10"/>
  <c r="N133" i="10"/>
  <c r="M133" i="10"/>
  <c r="N132" i="10"/>
  <c r="M132" i="10"/>
  <c r="N131" i="10"/>
  <c r="M131" i="10"/>
  <c r="M130" i="10"/>
  <c r="L130" i="10"/>
  <c r="H130" i="10"/>
  <c r="N130" i="10" s="1"/>
  <c r="M129" i="10"/>
  <c r="L129" i="10"/>
  <c r="H129" i="10"/>
  <c r="N129" i="10" s="1"/>
  <c r="G128" i="10"/>
  <c r="M128" i="10" s="1"/>
  <c r="L127" i="10"/>
  <c r="G127" i="10"/>
  <c r="M127" i="10" s="1"/>
  <c r="M126" i="10"/>
  <c r="L126" i="10"/>
  <c r="N126" i="10" s="1"/>
  <c r="N125" i="10" s="1"/>
  <c r="N124" i="10" s="1"/>
  <c r="H126" i="10"/>
  <c r="M125" i="10"/>
  <c r="K125" i="10"/>
  <c r="I125" i="10"/>
  <c r="I124" i="10" s="1"/>
  <c r="I114" i="10" s="1"/>
  <c r="H125" i="10"/>
  <c r="H124" i="10" s="1"/>
  <c r="G125" i="10"/>
  <c r="F125" i="10"/>
  <c r="M124" i="10"/>
  <c r="K124" i="10"/>
  <c r="G124" i="10"/>
  <c r="F124" i="10"/>
  <c r="M123" i="10"/>
  <c r="H123" i="10"/>
  <c r="N123" i="10" s="1"/>
  <c r="M122" i="10"/>
  <c r="H122" i="10"/>
  <c r="N122" i="10" s="1"/>
  <c r="N121" i="10"/>
  <c r="M121" i="10"/>
  <c r="L121" i="10"/>
  <c r="H121" i="10"/>
  <c r="M120" i="10"/>
  <c r="L120" i="10"/>
  <c r="H120" i="10"/>
  <c r="N120" i="10" s="1"/>
  <c r="M119" i="10"/>
  <c r="H119" i="10"/>
  <c r="N119" i="10" s="1"/>
  <c r="F119" i="10"/>
  <c r="L119" i="10" s="1"/>
  <c r="M118" i="10"/>
  <c r="M116" i="10" s="1"/>
  <c r="M115" i="10" s="1"/>
  <c r="L118" i="10"/>
  <c r="N118" i="10"/>
  <c r="M117" i="10"/>
  <c r="L117" i="10"/>
  <c r="H117" i="10"/>
  <c r="K116" i="10"/>
  <c r="K115" i="10" s="1"/>
  <c r="I116" i="10"/>
  <c r="G116" i="10"/>
  <c r="F116" i="10"/>
  <c r="I115" i="10"/>
  <c r="G115" i="10"/>
  <c r="F115" i="10"/>
  <c r="J114" i="10"/>
  <c r="M113" i="10"/>
  <c r="M112" i="10" s="1"/>
  <c r="M111" i="10" s="1"/>
  <c r="L113" i="10"/>
  <c r="L112" i="10" s="1"/>
  <c r="L111" i="10" s="1"/>
  <c r="N113" i="10"/>
  <c r="N112" i="10" s="1"/>
  <c r="N111" i="10" s="1"/>
  <c r="K112" i="10"/>
  <c r="I112" i="10"/>
  <c r="G112" i="10"/>
  <c r="G111" i="10" s="1"/>
  <c r="F112" i="10"/>
  <c r="F111" i="10" s="1"/>
  <c r="K111" i="10"/>
  <c r="I111" i="10"/>
  <c r="N109" i="10"/>
  <c r="M110" i="10"/>
  <c r="M109" i="10" s="1"/>
  <c r="H109" i="10"/>
  <c r="L109" i="10"/>
  <c r="K109" i="10"/>
  <c r="I109" i="10"/>
  <c r="G109" i="10"/>
  <c r="F109" i="10"/>
  <c r="M108" i="10"/>
  <c r="L108" i="10"/>
  <c r="L107" i="10" s="1"/>
  <c r="K108" i="10"/>
  <c r="N108" i="10" s="1"/>
  <c r="N107" i="10" s="1"/>
  <c r="M107" i="10"/>
  <c r="K107" i="10"/>
  <c r="J107" i="10"/>
  <c r="I107" i="10"/>
  <c r="H107" i="10"/>
  <c r="G107" i="10"/>
  <c r="F107" i="10"/>
  <c r="M106" i="10"/>
  <c r="L106" i="10"/>
  <c r="K106" i="10"/>
  <c r="H106" i="10"/>
  <c r="N106" i="10" s="1"/>
  <c r="L105" i="10"/>
  <c r="K105" i="10"/>
  <c r="K104" i="10" s="1"/>
  <c r="K103" i="10" s="1"/>
  <c r="J105" i="10"/>
  <c r="J104" i="10" s="1"/>
  <c r="J103" i="10" s="1"/>
  <c r="J102" i="10" s="1"/>
  <c r="L104" i="10"/>
  <c r="I104" i="10"/>
  <c r="I103" i="10" s="1"/>
  <c r="I102" i="10" s="1"/>
  <c r="G104" i="10"/>
  <c r="F104" i="10"/>
  <c r="F103" i="10" s="1"/>
  <c r="M101" i="10"/>
  <c r="L101" i="10"/>
  <c r="L100" i="10" s="1"/>
  <c r="K101" i="10"/>
  <c r="N101" i="10" s="1"/>
  <c r="H101" i="10"/>
  <c r="N100" i="10"/>
  <c r="M100" i="10"/>
  <c r="K100" i="10"/>
  <c r="J100" i="10"/>
  <c r="I100" i="10"/>
  <c r="I93" i="10" s="1"/>
  <c r="I92" i="10" s="1"/>
  <c r="H100" i="10"/>
  <c r="G100" i="10"/>
  <c r="F100" i="10"/>
  <c r="N99" i="10"/>
  <c r="M99" i="10"/>
  <c r="L99" i="10"/>
  <c r="N98" i="10"/>
  <c r="M98" i="10"/>
  <c r="H98" i="10"/>
  <c r="F98" i="10"/>
  <c r="L98" i="10" s="1"/>
  <c r="M97" i="10"/>
  <c r="L97" i="10"/>
  <c r="H97" i="10"/>
  <c r="N97" i="10" s="1"/>
  <c r="M96" i="10"/>
  <c r="K96" i="10"/>
  <c r="K93" i="10" s="1"/>
  <c r="K92" i="10" s="1"/>
  <c r="I96" i="10"/>
  <c r="F96" i="10"/>
  <c r="H96" i="10" s="1"/>
  <c r="H93" i="10" s="1"/>
  <c r="H92" i="10" s="1"/>
  <c r="N95" i="10"/>
  <c r="M95" i="10"/>
  <c r="L95" i="10"/>
  <c r="H95" i="10"/>
  <c r="N94" i="10"/>
  <c r="M94" i="10"/>
  <c r="L94" i="10"/>
  <c r="H94" i="10"/>
  <c r="J93" i="10"/>
  <c r="G93" i="10"/>
  <c r="F93" i="10"/>
  <c r="F92" i="10" s="1"/>
  <c r="J92" i="10"/>
  <c r="G92" i="10"/>
  <c r="N89" i="10"/>
  <c r="M89" i="10"/>
  <c r="L89" i="10"/>
  <c r="K89" i="10"/>
  <c r="I89" i="10"/>
  <c r="H89" i="10"/>
  <c r="G89" i="10"/>
  <c r="F89" i="10"/>
  <c r="N88" i="10"/>
  <c r="M88" i="10"/>
  <c r="L88" i="10"/>
  <c r="K88" i="10"/>
  <c r="I88" i="10"/>
  <c r="I87" i="10" s="1"/>
  <c r="H88" i="10"/>
  <c r="H87" i="10" s="1"/>
  <c r="G88" i="10"/>
  <c r="G87" i="10" s="1"/>
  <c r="F88" i="10"/>
  <c r="N87" i="10"/>
  <c r="M87" i="10"/>
  <c r="L87" i="10"/>
  <c r="K87" i="10"/>
  <c r="J87" i="10"/>
  <c r="F87" i="10"/>
  <c r="M86" i="10"/>
  <c r="N86" i="10" s="1"/>
  <c r="N85" i="10" s="1"/>
  <c r="N84" i="10" s="1"/>
  <c r="L86" i="10"/>
  <c r="H86" i="10"/>
  <c r="H85" i="10" s="1"/>
  <c r="H84" i="10" s="1"/>
  <c r="L85" i="10"/>
  <c r="L84" i="10" s="1"/>
  <c r="L80" i="10" s="1"/>
  <c r="L79" i="10" s="1"/>
  <c r="K85" i="10"/>
  <c r="K84" i="10" s="1"/>
  <c r="I85" i="10"/>
  <c r="I84" i="10" s="1"/>
  <c r="G85" i="10"/>
  <c r="G84" i="10" s="1"/>
  <c r="F85" i="10"/>
  <c r="F84" i="10"/>
  <c r="N83" i="10"/>
  <c r="M83" i="10"/>
  <c r="L83" i="10"/>
  <c r="H83" i="10"/>
  <c r="H82" i="10" s="1"/>
  <c r="H81" i="10" s="1"/>
  <c r="N82" i="10"/>
  <c r="M82" i="10"/>
  <c r="M81" i="10" s="1"/>
  <c r="L82" i="10"/>
  <c r="K82" i="10"/>
  <c r="K81" i="10" s="1"/>
  <c r="I82" i="10"/>
  <c r="G82" i="10"/>
  <c r="G81" i="10" s="1"/>
  <c r="F82" i="10"/>
  <c r="N81" i="10"/>
  <c r="L81" i="10"/>
  <c r="I81" i="10"/>
  <c r="F81" i="10"/>
  <c r="J80" i="10"/>
  <c r="J79" i="10" s="1"/>
  <c r="M78" i="10"/>
  <c r="L78" i="10"/>
  <c r="H78" i="10"/>
  <c r="N78" i="10" s="1"/>
  <c r="M77" i="10"/>
  <c r="L77" i="10"/>
  <c r="H77" i="10"/>
  <c r="N77" i="10" s="1"/>
  <c r="M76" i="10"/>
  <c r="L76" i="10"/>
  <c r="H76" i="10"/>
  <c r="N76" i="10" s="1"/>
  <c r="K75" i="10"/>
  <c r="I75" i="10"/>
  <c r="H75" i="10"/>
  <c r="H74" i="10" s="1"/>
  <c r="H73" i="10" s="1"/>
  <c r="G75" i="10"/>
  <c r="G74" i="10" s="1"/>
  <c r="G73" i="10" s="1"/>
  <c r="F75" i="10"/>
  <c r="F74" i="10" s="1"/>
  <c r="F73" i="10" s="1"/>
  <c r="K74" i="10"/>
  <c r="I74" i="10"/>
  <c r="I73" i="10" s="1"/>
  <c r="K73" i="10"/>
  <c r="J73" i="10"/>
  <c r="N71" i="10"/>
  <c r="M71" i="10"/>
  <c r="L71" i="10"/>
  <c r="H71" i="10"/>
  <c r="M70" i="10"/>
  <c r="M69" i="10" s="1"/>
  <c r="M68" i="10" s="1"/>
  <c r="L70" i="10"/>
  <c r="L69" i="10" s="1"/>
  <c r="L68" i="10" s="1"/>
  <c r="H70" i="10"/>
  <c r="H69" i="10" s="1"/>
  <c r="H68" i="10" s="1"/>
  <c r="K69" i="10"/>
  <c r="I69" i="10"/>
  <c r="G69" i="10"/>
  <c r="G68" i="10" s="1"/>
  <c r="F69" i="10"/>
  <c r="K68" i="10"/>
  <c r="I68" i="10"/>
  <c r="F68" i="10"/>
  <c r="N67" i="10"/>
  <c r="L67" i="10"/>
  <c r="N66" i="10"/>
  <c r="L66" i="10"/>
  <c r="N65" i="10"/>
  <c r="L65" i="10"/>
  <c r="M64" i="10"/>
  <c r="N64" i="10" s="1"/>
  <c r="N63" i="10" s="1"/>
  <c r="L64" i="10"/>
  <c r="H63" i="10"/>
  <c r="M63" i="10"/>
  <c r="L63" i="10"/>
  <c r="K63" i="10"/>
  <c r="I63" i="10"/>
  <c r="G63" i="10"/>
  <c r="F63" i="10"/>
  <c r="M62" i="10"/>
  <c r="L62" i="10"/>
  <c r="N62" i="10" s="1"/>
  <c r="N61" i="10" s="1"/>
  <c r="K62" i="10"/>
  <c r="K61" i="10" s="1"/>
  <c r="L61" i="10"/>
  <c r="J61" i="10"/>
  <c r="M61" i="10" s="1"/>
  <c r="M60" i="10"/>
  <c r="N60" i="10" s="1"/>
  <c r="N59" i="10" s="1"/>
  <c r="L60" i="10"/>
  <c r="L59" i="10" s="1"/>
  <c r="K60" i="10"/>
  <c r="H60" i="10"/>
  <c r="H59" i="10" s="1"/>
  <c r="H49" i="10" s="1"/>
  <c r="N49" i="10" s="1"/>
  <c r="K59" i="10"/>
  <c r="J59" i="10"/>
  <c r="I59" i="10"/>
  <c r="G59" i="10"/>
  <c r="F59" i="10"/>
  <c r="M58" i="10"/>
  <c r="L58" i="10"/>
  <c r="K58" i="10"/>
  <c r="H58" i="10"/>
  <c r="N58" i="10" s="1"/>
  <c r="N57" i="10" s="1"/>
  <c r="L57" i="10"/>
  <c r="K57" i="10"/>
  <c r="J57" i="10"/>
  <c r="I57" i="10"/>
  <c r="G57" i="10"/>
  <c r="H57" i="10" s="1"/>
  <c r="F57" i="10"/>
  <c r="M56" i="10"/>
  <c r="M55" i="10"/>
  <c r="M53" i="10"/>
  <c r="L53" i="10"/>
  <c r="K53" i="10"/>
  <c r="N53" i="10" s="1"/>
  <c r="H53" i="10"/>
  <c r="F53" i="10"/>
  <c r="M52" i="10"/>
  <c r="L52" i="10"/>
  <c r="H52" i="10"/>
  <c r="N52" i="10" s="1"/>
  <c r="K51" i="10"/>
  <c r="K50" i="10" s="1"/>
  <c r="K49" i="10" s="1"/>
  <c r="K48" i="10" s="1"/>
  <c r="M51" i="10"/>
  <c r="J50" i="10"/>
  <c r="I50" i="10"/>
  <c r="I49" i="10" s="1"/>
  <c r="I48" i="10" s="1"/>
  <c r="F50" i="10"/>
  <c r="F48" i="10" s="1"/>
  <c r="J49" i="10"/>
  <c r="J48" i="10" s="1"/>
  <c r="J39" i="10" s="1"/>
  <c r="N46" i="10"/>
  <c r="M46" i="10"/>
  <c r="L46" i="10"/>
  <c r="K46" i="10"/>
  <c r="I46" i="10"/>
  <c r="H46" i="10"/>
  <c r="G46" i="10"/>
  <c r="F46" i="10"/>
  <c r="M45" i="10"/>
  <c r="N44" i="10" s="1"/>
  <c r="H44" i="10"/>
  <c r="L44" i="10"/>
  <c r="K44" i="10"/>
  <c r="K41" i="10" s="1"/>
  <c r="K40" i="10" s="1"/>
  <c r="I44" i="10"/>
  <c r="G44" i="10"/>
  <c r="F44" i="10"/>
  <c r="L43" i="10"/>
  <c r="H43" i="10"/>
  <c r="H42" i="10" s="1"/>
  <c r="M43" i="10"/>
  <c r="L42" i="10"/>
  <c r="K42" i="10"/>
  <c r="I42" i="10"/>
  <c r="G42" i="10"/>
  <c r="G41" i="10" s="1"/>
  <c r="G40" i="10" s="1"/>
  <c r="F42" i="10"/>
  <c r="I41" i="10"/>
  <c r="I40" i="10"/>
  <c r="N36" i="10"/>
  <c r="M36" i="10"/>
  <c r="L36" i="10"/>
  <c r="K36" i="10"/>
  <c r="I36" i="10"/>
  <c r="H36" i="10"/>
  <c r="H35" i="10" s="1"/>
  <c r="H34" i="10" s="1"/>
  <c r="G36" i="10"/>
  <c r="F36" i="10"/>
  <c r="N35" i="10"/>
  <c r="N34" i="10" s="1"/>
  <c r="M35" i="10"/>
  <c r="M34" i="10" s="1"/>
  <c r="L35" i="10"/>
  <c r="L34" i="10" s="1"/>
  <c r="K35" i="10"/>
  <c r="I35" i="10"/>
  <c r="I34" i="10" s="1"/>
  <c r="G35" i="10"/>
  <c r="F35" i="10"/>
  <c r="F34" i="10" s="1"/>
  <c r="K34" i="10"/>
  <c r="J34" i="10"/>
  <c r="G34" i="10"/>
  <c r="N33" i="10"/>
  <c r="M33" i="10"/>
  <c r="L33" i="10"/>
  <c r="K33" i="10"/>
  <c r="J32" i="10"/>
  <c r="I32" i="10"/>
  <c r="L32" i="10" s="1"/>
  <c r="M31" i="10"/>
  <c r="L31" i="10"/>
  <c r="L30" i="10" s="1"/>
  <c r="H31" i="10"/>
  <c r="N31" i="10" s="1"/>
  <c r="N30" i="10" s="1"/>
  <c r="M30" i="10"/>
  <c r="K30" i="10"/>
  <c r="I30" i="10"/>
  <c r="G30" i="10"/>
  <c r="G25" i="10" s="1"/>
  <c r="F30" i="10"/>
  <c r="M28" i="10"/>
  <c r="M26" i="10" s="1"/>
  <c r="M25" i="10" s="1"/>
  <c r="L28" i="10"/>
  <c r="K28" i="10"/>
  <c r="K26" i="10" s="1"/>
  <c r="H28" i="10"/>
  <c r="N28" i="10" s="1"/>
  <c r="M27" i="10"/>
  <c r="L27" i="10"/>
  <c r="L26" i="10" s="1"/>
  <c r="L25" i="10" s="1"/>
  <c r="H27" i="10"/>
  <c r="N27" i="10" s="1"/>
  <c r="N26" i="10" s="1"/>
  <c r="N25" i="10" s="1"/>
  <c r="J26" i="10"/>
  <c r="I26" i="10"/>
  <c r="H26" i="10"/>
  <c r="G26" i="10"/>
  <c r="F26" i="10"/>
  <c r="J25" i="10"/>
  <c r="J18" i="10" s="1"/>
  <c r="I25" i="10"/>
  <c r="N23" i="10"/>
  <c r="M24" i="10"/>
  <c r="M23" i="10" s="1"/>
  <c r="L24" i="10"/>
  <c r="H23" i="10"/>
  <c r="L23" i="10"/>
  <c r="K23" i="10"/>
  <c r="I23" i="10"/>
  <c r="I19" i="10" s="1"/>
  <c r="I18" i="10" s="1"/>
  <c r="G23" i="10"/>
  <c r="F23" i="10"/>
  <c r="N22" i="10"/>
  <c r="M22" i="10"/>
  <c r="L22" i="10"/>
  <c r="K22" i="10"/>
  <c r="M21" i="10"/>
  <c r="L21" i="10"/>
  <c r="K21" i="10"/>
  <c r="N21" i="10"/>
  <c r="K20" i="10"/>
  <c r="K19" i="10" s="1"/>
  <c r="J20" i="10"/>
  <c r="I20" i="10"/>
  <c r="G20" i="10"/>
  <c r="H20" i="10" s="1"/>
  <c r="H19" i="10" s="1"/>
  <c r="F19" i="10"/>
  <c r="N338" i="10" l="1"/>
  <c r="M327" i="10"/>
  <c r="M326" i="10" s="1"/>
  <c r="M325" i="10" s="1"/>
  <c r="M20" i="10"/>
  <c r="M19" i="10"/>
  <c r="M18" i="10" s="1"/>
  <c r="N70" i="10"/>
  <c r="N69" i="10" s="1"/>
  <c r="N68" i="10" s="1"/>
  <c r="N384" i="10"/>
  <c r="N383" i="10" s="1"/>
  <c r="N382" i="10" s="1"/>
  <c r="N381" i="10" s="1"/>
  <c r="G103" i="10"/>
  <c r="M85" i="10"/>
  <c r="M84" i="10" s="1"/>
  <c r="H144" i="10"/>
  <c r="H143" i="10" s="1"/>
  <c r="N80" i="10"/>
  <c r="N79" i="10" s="1"/>
  <c r="G80" i="10"/>
  <c r="G79" i="10" s="1"/>
  <c r="M80" i="10"/>
  <c r="M79" i="10" s="1"/>
  <c r="F102" i="10"/>
  <c r="G244" i="10"/>
  <c r="L75" i="10"/>
  <c r="L74" i="10" s="1"/>
  <c r="L73" i="10" s="1"/>
  <c r="I244" i="10"/>
  <c r="K244" i="10"/>
  <c r="M255" i="10"/>
  <c r="L256" i="10"/>
  <c r="F80" i="10"/>
  <c r="F79" i="10" s="1"/>
  <c r="M93" i="10"/>
  <c r="M92" i="10" s="1"/>
  <c r="I39" i="10"/>
  <c r="K80" i="10"/>
  <c r="K79" i="10" s="1"/>
  <c r="N20" i="10"/>
  <c r="N19" i="10" s="1"/>
  <c r="N18" i="10" s="1"/>
  <c r="M75" i="10"/>
  <c r="M74" i="10" s="1"/>
  <c r="M73" i="10" s="1"/>
  <c r="I80" i="10"/>
  <c r="I79" i="10" s="1"/>
  <c r="L116" i="10"/>
  <c r="L115" i="10" s="1"/>
  <c r="L155" i="10"/>
  <c r="K102" i="10"/>
  <c r="K114" i="10"/>
  <c r="L196" i="10"/>
  <c r="F254" i="10"/>
  <c r="I91" i="10"/>
  <c r="L255" i="10"/>
  <c r="L20" i="10"/>
  <c r="L19" i="10" s="1"/>
  <c r="F114" i="10"/>
  <c r="F91" i="10" s="1"/>
  <c r="N217" i="10"/>
  <c r="M244" i="10"/>
  <c r="K254" i="10"/>
  <c r="K253" i="10" s="1"/>
  <c r="G254" i="10"/>
  <c r="M254" i="10"/>
  <c r="H254" i="10"/>
  <c r="M59" i="10"/>
  <c r="I405" i="10"/>
  <c r="K406" i="10"/>
  <c r="M353" i="10"/>
  <c r="M349" i="10" s="1"/>
  <c r="L343" i="10"/>
  <c r="F343" i="10"/>
  <c r="F342" i="10" s="1"/>
  <c r="N353" i="10"/>
  <c r="N349" i="10" s="1"/>
  <c r="F399" i="10"/>
  <c r="F388" i="10" s="1"/>
  <c r="M399" i="10"/>
  <c r="G399" i="10"/>
  <c r="N406" i="10"/>
  <c r="N405" i="10" s="1"/>
  <c r="K405" i="10"/>
  <c r="K399" i="10" s="1"/>
  <c r="I399" i="10"/>
  <c r="I388" i="10" s="1"/>
  <c r="L394" i="10"/>
  <c r="L393" i="10" s="1"/>
  <c r="H394" i="10"/>
  <c r="H393" i="10" s="1"/>
  <c r="G394" i="10"/>
  <c r="G393" i="10" s="1"/>
  <c r="G381" i="10"/>
  <c r="M382" i="10"/>
  <c r="M381" i="10" s="1"/>
  <c r="G362" i="10"/>
  <c r="L324" i="10"/>
  <c r="H336" i="10"/>
  <c r="H335" i="10"/>
  <c r="N335" i="10" s="1"/>
  <c r="G301" i="10"/>
  <c r="F301" i="10"/>
  <c r="L281" i="10"/>
  <c r="L280" i="10" s="1"/>
  <c r="N284" i="10"/>
  <c r="N281" i="10" s="1"/>
  <c r="N280" i="10" s="1"/>
  <c r="M281" i="10"/>
  <c r="M280" i="10" s="1"/>
  <c r="G253" i="10"/>
  <c r="H282" i="10"/>
  <c r="H281" i="10" s="1"/>
  <c r="H280" i="10" s="1"/>
  <c r="F253" i="10"/>
  <c r="N261" i="10"/>
  <c r="N260" i="10" s="1"/>
  <c r="L244" i="10"/>
  <c r="N244" i="10"/>
  <c r="F203" i="10"/>
  <c r="L203" i="10" s="1"/>
  <c r="L192" i="10" s="1"/>
  <c r="F196" i="10"/>
  <c r="F155" i="10"/>
  <c r="F154" i="10" s="1"/>
  <c r="G155" i="10"/>
  <c r="G154" i="10" s="1"/>
  <c r="N157" i="10"/>
  <c r="N156" i="10" s="1"/>
  <c r="L154" i="10"/>
  <c r="N153" i="10"/>
  <c r="N152" i="10" s="1"/>
  <c r="H128" i="10"/>
  <c r="N128" i="10" s="1"/>
  <c r="H127" i="10"/>
  <c r="N127" i="10" s="1"/>
  <c r="M114" i="10"/>
  <c r="G102" i="10"/>
  <c r="G91" i="10" s="1"/>
  <c r="L50" i="10"/>
  <c r="L48" i="10" s="1"/>
  <c r="L41" i="10"/>
  <c r="L40" i="10" s="1"/>
  <c r="F41" i="10"/>
  <c r="F40" i="10" s="1"/>
  <c r="F18" i="10"/>
  <c r="F25" i="10"/>
  <c r="L18" i="10"/>
  <c r="F39" i="10"/>
  <c r="N43" i="10"/>
  <c r="N42" i="10" s="1"/>
  <c r="N41" i="10" s="1"/>
  <c r="N40" i="10" s="1"/>
  <c r="M42" i="10"/>
  <c r="N75" i="10"/>
  <c r="N74" i="10" s="1"/>
  <c r="N73" i="10" s="1"/>
  <c r="N145" i="10"/>
  <c r="K39" i="10"/>
  <c r="H25" i="10"/>
  <c r="H18" i="10" s="1"/>
  <c r="H41" i="10"/>
  <c r="H40" i="10" s="1"/>
  <c r="H50" i="10"/>
  <c r="H48" i="10" s="1"/>
  <c r="H80" i="10"/>
  <c r="H79" i="10" s="1"/>
  <c r="J91" i="10"/>
  <c r="H30" i="10"/>
  <c r="K32" i="10"/>
  <c r="N32" i="10" s="1"/>
  <c r="M44" i="10"/>
  <c r="G50" i="10"/>
  <c r="G49" i="10" s="1"/>
  <c r="G48" i="10" s="1"/>
  <c r="G39" i="10" s="1"/>
  <c r="M54" i="10"/>
  <c r="M57" i="10"/>
  <c r="N96" i="10"/>
  <c r="N93" i="10" s="1"/>
  <c r="N92" i="10" s="1"/>
  <c r="M105" i="10"/>
  <c r="M104" i="10" s="1"/>
  <c r="M103" i="10" s="1"/>
  <c r="M102" i="10" s="1"/>
  <c r="H112" i="10"/>
  <c r="H111" i="10" s="1"/>
  <c r="L125" i="10"/>
  <c r="L124" i="10" s="1"/>
  <c r="G145" i="10"/>
  <c r="G144" i="10" s="1"/>
  <c r="K145" i="10"/>
  <c r="K144" i="10" s="1"/>
  <c r="K143" i="10" s="1"/>
  <c r="K135" i="10" s="1"/>
  <c r="N159" i="10"/>
  <c r="N158" i="10" s="1"/>
  <c r="H204" i="10"/>
  <c r="M204" i="10"/>
  <c r="K211" i="10"/>
  <c r="J210" i="10"/>
  <c r="M211" i="10"/>
  <c r="N211" i="10" s="1"/>
  <c r="K209" i="10"/>
  <c r="M232" i="10"/>
  <c r="G226" i="10"/>
  <c r="F244" i="10"/>
  <c r="G19" i="10"/>
  <c r="G18" i="10" s="1"/>
  <c r="M147" i="10"/>
  <c r="M145" i="10" s="1"/>
  <c r="N191" i="10"/>
  <c r="N190" i="10" s="1"/>
  <c r="N187" i="10" s="1"/>
  <c r="N186" i="10" s="1"/>
  <c r="H190" i="10"/>
  <c r="H187" i="10" s="1"/>
  <c r="H186" i="10" s="1"/>
  <c r="I192" i="10"/>
  <c r="I135" i="10" s="1"/>
  <c r="N241" i="10"/>
  <c r="N240" i="10" s="1"/>
  <c r="N239" i="10" s="1"/>
  <c r="N238" i="10" s="1"/>
  <c r="L103" i="10"/>
  <c r="L102" i="10" s="1"/>
  <c r="N117" i="10"/>
  <c r="N116" i="10" s="1"/>
  <c r="N115" i="10" s="1"/>
  <c r="H116" i="10"/>
  <c r="H115" i="10" s="1"/>
  <c r="N149" i="10"/>
  <c r="N148" i="10" s="1"/>
  <c r="N151" i="10"/>
  <c r="N150" i="10" s="1"/>
  <c r="I152" i="10"/>
  <c r="H163" i="10"/>
  <c r="M163" i="10"/>
  <c r="M162" i="10" s="1"/>
  <c r="M176" i="10"/>
  <c r="N176" i="10" s="1"/>
  <c r="J155" i="10"/>
  <c r="J154" i="10" s="1"/>
  <c r="J135" i="10" s="1"/>
  <c r="I209" i="10"/>
  <c r="F209" i="10"/>
  <c r="L151" i="10"/>
  <c r="L150" i="10" s="1"/>
  <c r="L144" i="10" s="1"/>
  <c r="L143" i="10" s="1"/>
  <c r="I150" i="10"/>
  <c r="L214" i="10"/>
  <c r="L96" i="10"/>
  <c r="L93" i="10" s="1"/>
  <c r="L92" i="10" s="1"/>
  <c r="N161" i="10"/>
  <c r="N160" i="10" s="1"/>
  <c r="N181" i="10"/>
  <c r="H207" i="10"/>
  <c r="N207" i="10" s="1"/>
  <c r="M207" i="10"/>
  <c r="G206" i="10"/>
  <c r="H218" i="10"/>
  <c r="N218" i="10" s="1"/>
  <c r="G215" i="10"/>
  <c r="H251" i="10"/>
  <c r="H250" i="10" s="1"/>
  <c r="H249" i="10" s="1"/>
  <c r="H244" i="10" s="1"/>
  <c r="N256" i="10"/>
  <c r="I255" i="10"/>
  <c r="I254" i="10" s="1"/>
  <c r="I253" i="10" s="1"/>
  <c r="M317" i="10"/>
  <c r="M301" i="10" s="1"/>
  <c r="H105" i="10"/>
  <c r="N171" i="10"/>
  <c r="N170" i="10" s="1"/>
  <c r="H170" i="10"/>
  <c r="N177" i="10"/>
  <c r="G192" i="10"/>
  <c r="H197" i="10"/>
  <c r="H196" i="10" s="1"/>
  <c r="N198" i="10"/>
  <c r="N197" i="10" s="1"/>
  <c r="N196" i="10" s="1"/>
  <c r="L215" i="10"/>
  <c r="L317" i="10"/>
  <c r="N371" i="10"/>
  <c r="N370" i="10" s="1"/>
  <c r="M370" i="10"/>
  <c r="L254" i="10"/>
  <c r="L253" i="10" s="1"/>
  <c r="H318" i="10"/>
  <c r="H317" i="10" s="1"/>
  <c r="M322" i="10"/>
  <c r="J317" i="10"/>
  <c r="J301" i="10" s="1"/>
  <c r="M332" i="10"/>
  <c r="H332" i="10"/>
  <c r="N332" i="10" s="1"/>
  <c r="H304" i="10"/>
  <c r="H303" i="10" s="1"/>
  <c r="H302" i="10" s="1"/>
  <c r="N331" i="10"/>
  <c r="N330" i="10" s="1"/>
  <c r="K330" i="10"/>
  <c r="K326" i="10" s="1"/>
  <c r="K325" i="10" s="1"/>
  <c r="K324" i="10" s="1"/>
  <c r="M374" i="10"/>
  <c r="H374" i="10"/>
  <c r="N374" i="10" s="1"/>
  <c r="N306" i="10"/>
  <c r="N304" i="10" s="1"/>
  <c r="N303" i="10" s="1"/>
  <c r="N302" i="10" s="1"/>
  <c r="N301" i="10" s="1"/>
  <c r="L304" i="10"/>
  <c r="L303" i="10" s="1"/>
  <c r="L302" i="10" s="1"/>
  <c r="I317" i="10"/>
  <c r="I301" i="10" s="1"/>
  <c r="N320" i="10"/>
  <c r="N327" i="10"/>
  <c r="G336" i="10"/>
  <c r="G335" i="10"/>
  <c r="G324" i="10" s="1"/>
  <c r="M324" i="10" s="1"/>
  <c r="N364" i="10"/>
  <c r="N363" i="10" s="1"/>
  <c r="K388" i="10"/>
  <c r="M346" i="10"/>
  <c r="M345" i="10" s="1"/>
  <c r="M344" i="10" s="1"/>
  <c r="H346" i="10"/>
  <c r="G345" i="10"/>
  <c r="G344" i="10" s="1"/>
  <c r="G343" i="10" s="1"/>
  <c r="G342" i="10" s="1"/>
  <c r="H327" i="10"/>
  <c r="H326" i="10" s="1"/>
  <c r="H325" i="10" s="1"/>
  <c r="F335" i="10"/>
  <c r="F324" i="10" s="1"/>
  <c r="F336" i="10"/>
  <c r="N375" i="10"/>
  <c r="N402" i="10"/>
  <c r="N401" i="10" s="1"/>
  <c r="N400" i="10" s="1"/>
  <c r="L412" i="10"/>
  <c r="L411" i="10" s="1"/>
  <c r="L399" i="10" s="1"/>
  <c r="L388" i="10" s="1"/>
  <c r="H421" i="10"/>
  <c r="N421" i="10" s="1"/>
  <c r="H379" i="10"/>
  <c r="H378" i="10" s="1"/>
  <c r="H377" i="10" s="1"/>
  <c r="H391" i="10"/>
  <c r="H390" i="10" s="1"/>
  <c r="H389" i="10" s="1"/>
  <c r="H412" i="10"/>
  <c r="G419" i="10"/>
  <c r="G420" i="10"/>
  <c r="M153" i="9"/>
  <c r="N326" i="10" l="1"/>
  <c r="N325" i="10" s="1"/>
  <c r="K91" i="10"/>
  <c r="L135" i="10"/>
  <c r="I17" i="10"/>
  <c r="I16" i="10" s="1"/>
  <c r="L114" i="10"/>
  <c r="M91" i="10"/>
  <c r="M253" i="10"/>
  <c r="H253" i="10"/>
  <c r="N255" i="10"/>
  <c r="N254" i="10" s="1"/>
  <c r="N253" i="10" s="1"/>
  <c r="L39" i="10"/>
  <c r="M362" i="10"/>
  <c r="M343" i="10"/>
  <c r="N324" i="10"/>
  <c r="L301" i="10"/>
  <c r="F192" i="10"/>
  <c r="F135" i="10" s="1"/>
  <c r="F17" i="10" s="1"/>
  <c r="F16" i="10" s="1"/>
  <c r="M155" i="10"/>
  <c r="M154" i="10" s="1"/>
  <c r="J17" i="10"/>
  <c r="J16" i="10" s="1"/>
  <c r="H114" i="10"/>
  <c r="N114" i="10"/>
  <c r="L91" i="10"/>
  <c r="M50" i="10"/>
  <c r="M49" i="10" s="1"/>
  <c r="M48" i="10" s="1"/>
  <c r="G225" i="10"/>
  <c r="G209" i="10" s="1"/>
  <c r="M209" i="10" s="1"/>
  <c r="M226" i="10"/>
  <c r="M225" i="10" s="1"/>
  <c r="H203" i="10"/>
  <c r="N203" i="10" s="1"/>
  <c r="N204" i="10"/>
  <c r="G143" i="10"/>
  <c r="G135" i="10" s="1"/>
  <c r="G17" i="10" s="1"/>
  <c r="M144" i="10"/>
  <c r="M143" i="10" s="1"/>
  <c r="N144" i="10"/>
  <c r="N143" i="10" s="1"/>
  <c r="H324" i="10"/>
  <c r="M335" i="10"/>
  <c r="M336" i="10"/>
  <c r="H301" i="10"/>
  <c r="H215" i="10"/>
  <c r="G214" i="10"/>
  <c r="H214" i="10" s="1"/>
  <c r="H209" i="10" s="1"/>
  <c r="N209" i="10" s="1"/>
  <c r="M215" i="10"/>
  <c r="M214" i="10" s="1"/>
  <c r="N214" i="10"/>
  <c r="L209" i="10"/>
  <c r="M210" i="10"/>
  <c r="K210" i="10"/>
  <c r="N210" i="10" s="1"/>
  <c r="H39" i="10"/>
  <c r="M41" i="10"/>
  <c r="M40" i="10" s="1"/>
  <c r="N412" i="10"/>
  <c r="N411" i="10" s="1"/>
  <c r="N399" i="10" s="1"/>
  <c r="H411" i="10"/>
  <c r="H399" i="10" s="1"/>
  <c r="H420" i="10"/>
  <c r="N420" i="10" s="1"/>
  <c r="M420" i="10"/>
  <c r="H345" i="10"/>
  <c r="H344" i="10" s="1"/>
  <c r="N346" i="10"/>
  <c r="N345" i="10" s="1"/>
  <c r="N344" i="10" s="1"/>
  <c r="N343" i="10" s="1"/>
  <c r="G415" i="10"/>
  <c r="G388" i="10" s="1"/>
  <c r="H419" i="10"/>
  <c r="M419" i="10"/>
  <c r="M415" i="10" s="1"/>
  <c r="M388" i="10" s="1"/>
  <c r="H104" i="10"/>
  <c r="H103" i="10" s="1"/>
  <c r="H102" i="10" s="1"/>
  <c r="N105" i="10"/>
  <c r="N104" i="10" s="1"/>
  <c r="N103" i="10" s="1"/>
  <c r="N102" i="10" s="1"/>
  <c r="H206" i="10"/>
  <c r="N206" i="10" s="1"/>
  <c r="M206" i="10"/>
  <c r="M192" i="10" s="1"/>
  <c r="I144" i="10"/>
  <c r="I143" i="10" s="1"/>
  <c r="N163" i="10"/>
  <c r="N162" i="10" s="1"/>
  <c r="N155" i="10" s="1"/>
  <c r="N154" i="10" s="1"/>
  <c r="H162" i="10"/>
  <c r="H155" i="10" s="1"/>
  <c r="H154" i="10" s="1"/>
  <c r="K25" i="10"/>
  <c r="K18" i="10" s="1"/>
  <c r="K17" i="10" s="1"/>
  <c r="K16" i="10" s="1"/>
  <c r="N50" i="10"/>
  <c r="G345" i="9"/>
  <c r="G344" i="9"/>
  <c r="H343" i="10" l="1"/>
  <c r="H342" i="10" s="1"/>
  <c r="L17" i="10"/>
  <c r="L16" i="10" s="1"/>
  <c r="N192" i="10"/>
  <c r="N91" i="10"/>
  <c r="N48" i="10"/>
  <c r="N39" i="10" s="1"/>
  <c r="M342" i="10"/>
  <c r="G16" i="10"/>
  <c r="H91" i="10"/>
  <c r="M39" i="10"/>
  <c r="N419" i="10"/>
  <c r="N415" i="10" s="1"/>
  <c r="N388" i="10" s="1"/>
  <c r="H415" i="10"/>
  <c r="H388" i="10" s="1"/>
  <c r="H192" i="10"/>
  <c r="H135" i="10" s="1"/>
  <c r="N215" i="10"/>
  <c r="N135" i="10"/>
  <c r="N342" i="10"/>
  <c r="M135" i="10"/>
  <c r="N324" i="9"/>
  <c r="G338" i="9"/>
  <c r="G191" i="9"/>
  <c r="N17" i="10" l="1"/>
  <c r="N16" i="10" s="1"/>
  <c r="M17" i="10"/>
  <c r="M16" i="10" s="1"/>
  <c r="H17" i="10"/>
  <c r="H16" i="10" s="1"/>
  <c r="G163" i="9"/>
  <c r="G171" i="9" l="1"/>
  <c r="G105" i="9" l="1"/>
  <c r="G205" i="9" l="1"/>
  <c r="N49" i="9" l="1"/>
  <c r="M49" i="9"/>
  <c r="G43" i="9"/>
  <c r="G52" i="9" l="1"/>
  <c r="M55" i="9" l="1"/>
  <c r="M56" i="9"/>
  <c r="H55" i="9"/>
  <c r="G147" i="9" l="1"/>
  <c r="H153" i="9"/>
  <c r="G159" i="9"/>
  <c r="G157" i="9"/>
  <c r="N360" i="9" l="1"/>
  <c r="M360" i="9"/>
  <c r="H360" i="9"/>
  <c r="G360" i="9"/>
  <c r="N372" i="9"/>
  <c r="N373" i="9"/>
  <c r="N374" i="9"/>
  <c r="M372" i="9"/>
  <c r="M373" i="9"/>
  <c r="M374" i="9"/>
  <c r="H372" i="9"/>
  <c r="H373" i="9"/>
  <c r="H374" i="9"/>
  <c r="G372" i="9"/>
  <c r="G373" i="9"/>
  <c r="G114" i="9"/>
  <c r="H120" i="9"/>
  <c r="H121" i="9"/>
  <c r="N139" i="9" l="1"/>
  <c r="M139" i="9"/>
  <c r="H139" i="9"/>
  <c r="G352" i="9" l="1"/>
  <c r="G370" i="9" l="1"/>
  <c r="H205" i="9" l="1"/>
  <c r="H43" i="9"/>
  <c r="N64" i="9"/>
  <c r="M64" i="9"/>
  <c r="H64" i="9"/>
  <c r="H167" i="9" l="1"/>
  <c r="M142" i="9"/>
  <c r="G140" i="9"/>
  <c r="M140" i="9" s="1"/>
  <c r="G141" i="9"/>
  <c r="M141" i="9" s="1"/>
  <c r="H142" i="9"/>
  <c r="N142" i="9" s="1"/>
  <c r="H140" i="9" l="1"/>
  <c r="N140" i="9" s="1"/>
  <c r="H141" i="9"/>
  <c r="N141" i="9" s="1"/>
  <c r="G400" i="9"/>
  <c r="G51" i="9"/>
  <c r="F155" i="9" l="1"/>
  <c r="G113" i="9"/>
  <c r="H113" i="9" s="1"/>
  <c r="N110" i="9"/>
  <c r="M110" i="9"/>
  <c r="H110" i="9"/>
  <c r="M123" i="9"/>
  <c r="H123" i="9"/>
  <c r="N123" i="9" s="1"/>
  <c r="G320" i="9"/>
  <c r="H20" i="9"/>
  <c r="G20" i="9"/>
  <c r="H21" i="9"/>
  <c r="N285" i="9" l="1"/>
  <c r="M285" i="9"/>
  <c r="H285" i="9"/>
  <c r="G419" i="9"/>
  <c r="N131" i="9"/>
  <c r="M131" i="9"/>
  <c r="N132" i="9"/>
  <c r="M132" i="9"/>
  <c r="N133" i="9"/>
  <c r="M133" i="9"/>
  <c r="M134" i="9"/>
  <c r="H134" i="9"/>
  <c r="N134" i="9" s="1"/>
  <c r="M338" i="9"/>
  <c r="K335" i="9"/>
  <c r="K338" i="9"/>
  <c r="M176" i="9" l="1"/>
  <c r="N176" i="9" s="1"/>
  <c r="M177" i="9"/>
  <c r="N177" i="9" s="1"/>
  <c r="H176" i="9"/>
  <c r="H177" i="9"/>
  <c r="H218" i="9" l="1"/>
  <c r="H219" i="9"/>
  <c r="G218" i="9"/>
  <c r="J152" i="9" l="1"/>
  <c r="H252" i="9"/>
  <c r="N405" i="9" l="1"/>
  <c r="M405" i="9"/>
  <c r="N406" i="9"/>
  <c r="M406" i="9"/>
  <c r="K405" i="9"/>
  <c r="K406" i="9"/>
  <c r="J153" i="9" l="1"/>
  <c r="M149" i="9"/>
  <c r="F386" i="9" l="1"/>
  <c r="H378" i="9"/>
  <c r="N45" i="9" l="1"/>
  <c r="M45" i="9"/>
  <c r="H45" i="9"/>
  <c r="H52" i="9"/>
  <c r="M51" i="9"/>
  <c r="N51" i="9" s="1"/>
  <c r="N54" i="9"/>
  <c r="M54" i="9"/>
  <c r="H51" i="9"/>
  <c r="H54" i="9"/>
  <c r="G54" i="9"/>
  <c r="H76" i="9"/>
  <c r="H78" i="9"/>
  <c r="H352" i="9" l="1"/>
  <c r="H370" i="9"/>
  <c r="G198" i="9"/>
  <c r="N304" i="9" l="1"/>
  <c r="L304" i="9"/>
  <c r="N305" i="9"/>
  <c r="L305" i="9"/>
  <c r="H304" i="9"/>
  <c r="F304" i="9"/>
  <c r="H305" i="9"/>
  <c r="H149" i="9" l="1"/>
  <c r="N396" i="9" l="1"/>
  <c r="M396" i="9"/>
  <c r="H396" i="9"/>
  <c r="H31" i="9" l="1"/>
  <c r="M359" i="9" l="1"/>
  <c r="N359" i="9" s="1"/>
  <c r="H359" i="9"/>
  <c r="H357" i="9"/>
  <c r="H83" i="9" l="1"/>
  <c r="L353" i="9" l="1"/>
  <c r="H341" i="8"/>
  <c r="L306" i="9"/>
  <c r="L86" i="9"/>
  <c r="L49" i="9"/>
  <c r="L21" i="9"/>
  <c r="L22" i="9"/>
  <c r="N19" i="8"/>
  <c r="I290" i="8"/>
  <c r="I155" i="9"/>
  <c r="I49" i="9"/>
  <c r="K144" i="8"/>
  <c r="L176" i="9"/>
  <c r="L177" i="9"/>
  <c r="K177" i="9"/>
  <c r="N178" i="9"/>
  <c r="L178" i="9"/>
  <c r="N179" i="9"/>
  <c r="L179" i="9"/>
  <c r="I20" i="9"/>
  <c r="N401" i="9"/>
  <c r="L401" i="9"/>
  <c r="F343" i="9"/>
  <c r="F342" i="9" s="1"/>
  <c r="F337" i="9"/>
  <c r="N339" i="9"/>
  <c r="L339" i="9"/>
  <c r="L419" i="9"/>
  <c r="M419" i="9"/>
  <c r="L418" i="9"/>
  <c r="L417" i="9"/>
  <c r="L413" i="9" s="1"/>
  <c r="G417" i="9"/>
  <c r="H417" i="9" s="1"/>
  <c r="I415" i="9"/>
  <c r="I414" i="9" s="1"/>
  <c r="I413" i="9" s="1"/>
  <c r="N414" i="9"/>
  <c r="F414" i="9"/>
  <c r="G413" i="9"/>
  <c r="F413" i="9"/>
  <c r="M412" i="9"/>
  <c r="L412" i="9"/>
  <c r="M411" i="9"/>
  <c r="L411" i="9"/>
  <c r="H411" i="9"/>
  <c r="N411" i="9" s="1"/>
  <c r="K410" i="9"/>
  <c r="I410" i="9"/>
  <c r="I409" i="9" s="1"/>
  <c r="G410" i="9"/>
  <c r="G409" i="9" s="1"/>
  <c r="F410" i="9"/>
  <c r="L410" i="9" s="1"/>
  <c r="L409" i="9" s="1"/>
  <c r="K409" i="9"/>
  <c r="J409" i="9"/>
  <c r="N407" i="9"/>
  <c r="M407" i="9"/>
  <c r="L407" i="9"/>
  <c r="K407" i="9"/>
  <c r="I407" i="9"/>
  <c r="H407" i="9"/>
  <c r="G407" i="9"/>
  <c r="F407" i="9"/>
  <c r="N404" i="9"/>
  <c r="L404" i="9"/>
  <c r="L403" i="9" s="1"/>
  <c r="K404" i="9"/>
  <c r="I404" i="9"/>
  <c r="I403" i="9" s="1"/>
  <c r="N403" i="9"/>
  <c r="M403" i="9"/>
  <c r="K403" i="9"/>
  <c r="H403" i="9"/>
  <c r="G403" i="9"/>
  <c r="F403" i="9"/>
  <c r="M402" i="9"/>
  <c r="L402" i="9"/>
  <c r="H402" i="9"/>
  <c r="N402" i="9" s="1"/>
  <c r="M401" i="9"/>
  <c r="M400" i="9"/>
  <c r="L400" i="9"/>
  <c r="H400" i="9"/>
  <c r="K399" i="9"/>
  <c r="I399" i="9"/>
  <c r="F399" i="9"/>
  <c r="F398" i="9" s="1"/>
  <c r="K398" i="9"/>
  <c r="K397" i="9" s="1"/>
  <c r="J398" i="9"/>
  <c r="I398" i="9"/>
  <c r="I397" i="9" s="1"/>
  <c r="J397" i="9"/>
  <c r="L396" i="9"/>
  <c r="L395" i="9" s="1"/>
  <c r="F396" i="9"/>
  <c r="N395" i="9"/>
  <c r="N392" i="9" s="1"/>
  <c r="N391" i="9" s="1"/>
  <c r="M395" i="9"/>
  <c r="K395" i="9"/>
  <c r="I395" i="9"/>
  <c r="H395" i="9"/>
  <c r="G395" i="9"/>
  <c r="G392" i="9" s="1"/>
  <c r="G391" i="9" s="1"/>
  <c r="F395" i="9"/>
  <c r="N394" i="9"/>
  <c r="L394" i="9"/>
  <c r="L393" i="9" s="1"/>
  <c r="H394" i="9"/>
  <c r="F394" i="9"/>
  <c r="N393" i="9"/>
  <c r="M393" i="9"/>
  <c r="K393" i="9"/>
  <c r="I393" i="9"/>
  <c r="H393" i="9"/>
  <c r="H392" i="9" s="1"/>
  <c r="H391" i="9" s="1"/>
  <c r="G393" i="9"/>
  <c r="F393" i="9"/>
  <c r="F392" i="9" s="1"/>
  <c r="F391" i="9" s="1"/>
  <c r="M392" i="9"/>
  <c r="M391" i="9" s="1"/>
  <c r="K392" i="9"/>
  <c r="K391" i="9" s="1"/>
  <c r="J392" i="9"/>
  <c r="I392" i="9"/>
  <c r="I391" i="9" s="1"/>
  <c r="J391" i="9"/>
  <c r="M390" i="9"/>
  <c r="L390" i="9"/>
  <c r="H390" i="9"/>
  <c r="N390" i="9" s="1"/>
  <c r="N389" i="9" s="1"/>
  <c r="N388" i="9" s="1"/>
  <c r="N387" i="9" s="1"/>
  <c r="M389" i="9"/>
  <c r="L389" i="9"/>
  <c r="K389" i="9"/>
  <c r="I389" i="9"/>
  <c r="H389" i="9"/>
  <c r="H388" i="9" s="1"/>
  <c r="H387" i="9" s="1"/>
  <c r="G389" i="9"/>
  <c r="F389" i="9"/>
  <c r="F388" i="9" s="1"/>
  <c r="F387" i="9" s="1"/>
  <c r="M388" i="9"/>
  <c r="M387" i="9" s="1"/>
  <c r="L388" i="9"/>
  <c r="K388" i="9"/>
  <c r="K387" i="9" s="1"/>
  <c r="J388" i="9"/>
  <c r="I388" i="9"/>
  <c r="I387" i="9" s="1"/>
  <c r="G388" i="9"/>
  <c r="G387" i="9" s="1"/>
  <c r="L387" i="9"/>
  <c r="J387" i="9"/>
  <c r="J386" i="9" s="1"/>
  <c r="N385" i="9"/>
  <c r="M385" i="9"/>
  <c r="L385" i="9"/>
  <c r="H385" i="9"/>
  <c r="N384" i="9"/>
  <c r="M384" i="9"/>
  <c r="L384" i="9"/>
  <c r="H384" i="9"/>
  <c r="N383" i="9"/>
  <c r="M383" i="9"/>
  <c r="L383" i="9"/>
  <c r="H383" i="9"/>
  <c r="N382" i="9"/>
  <c r="M382" i="9"/>
  <c r="L382" i="9"/>
  <c r="H382" i="9"/>
  <c r="H381" i="9" s="1"/>
  <c r="H380" i="9" s="1"/>
  <c r="H379" i="9" s="1"/>
  <c r="N381" i="9"/>
  <c r="N380" i="9" s="1"/>
  <c r="N379" i="9" s="1"/>
  <c r="M381" i="9"/>
  <c r="L381" i="9"/>
  <c r="K381" i="9"/>
  <c r="I381" i="9"/>
  <c r="G381" i="9"/>
  <c r="F381" i="9"/>
  <c r="K380" i="9"/>
  <c r="I380" i="9"/>
  <c r="I379" i="9" s="1"/>
  <c r="G380" i="9"/>
  <c r="G379" i="9" s="1"/>
  <c r="F380" i="9"/>
  <c r="L380" i="9" s="1"/>
  <c r="L379" i="9" s="1"/>
  <c r="K379" i="9"/>
  <c r="J379" i="9"/>
  <c r="M378" i="9"/>
  <c r="M377" i="9" s="1"/>
  <c r="M376" i="9" s="1"/>
  <c r="M375" i="9" s="1"/>
  <c r="L378" i="9"/>
  <c r="N378" i="9"/>
  <c r="N377" i="9" s="1"/>
  <c r="N376" i="9" s="1"/>
  <c r="N375" i="9" s="1"/>
  <c r="L377" i="9"/>
  <c r="K377" i="9"/>
  <c r="I377" i="9"/>
  <c r="H377" i="9"/>
  <c r="G377" i="9"/>
  <c r="G376" i="9" s="1"/>
  <c r="G375" i="9" s="1"/>
  <c r="F377" i="9"/>
  <c r="L376" i="9"/>
  <c r="K376" i="9"/>
  <c r="I376" i="9"/>
  <c r="H376" i="9"/>
  <c r="H375" i="9" s="1"/>
  <c r="F376" i="9"/>
  <c r="F375" i="9" s="1"/>
  <c r="L375" i="9"/>
  <c r="K375" i="9"/>
  <c r="J375" i="9"/>
  <c r="I375" i="9"/>
  <c r="M371" i="9"/>
  <c r="N370" i="9"/>
  <c r="M370" i="9"/>
  <c r="M369" i="9" s="1"/>
  <c r="L370" i="9"/>
  <c r="L369" i="9"/>
  <c r="K369" i="9"/>
  <c r="I369" i="9"/>
  <c r="H369" i="9"/>
  <c r="H368" i="9" s="1"/>
  <c r="G369" i="9"/>
  <c r="G368" i="9" s="1"/>
  <c r="F369" i="9"/>
  <c r="L368" i="9"/>
  <c r="K368" i="9"/>
  <c r="I368" i="9"/>
  <c r="F368" i="9"/>
  <c r="M367" i="9"/>
  <c r="L367" i="9"/>
  <c r="N367" i="9" s="1"/>
  <c r="N366" i="9" s="1"/>
  <c r="N365" i="9" s="1"/>
  <c r="H367" i="9"/>
  <c r="M366" i="9"/>
  <c r="M365" i="9" s="1"/>
  <c r="L366" i="9"/>
  <c r="K366" i="9"/>
  <c r="K365" i="9" s="1"/>
  <c r="K360" i="9" s="1"/>
  <c r="I366" i="9"/>
  <c r="H366" i="9"/>
  <c r="H365" i="9" s="1"/>
  <c r="G366" i="9"/>
  <c r="F366" i="9"/>
  <c r="F365" i="9" s="1"/>
  <c r="F360" i="9" s="1"/>
  <c r="L365" i="9"/>
  <c r="I365" i="9"/>
  <c r="G365" i="9"/>
  <c r="N364" i="9"/>
  <c r="M364" i="9"/>
  <c r="L364" i="9"/>
  <c r="H364" i="9"/>
  <c r="N363" i="9"/>
  <c r="N362" i="9" s="1"/>
  <c r="N361" i="9" s="1"/>
  <c r="M363" i="9"/>
  <c r="L363" i="9"/>
  <c r="H363" i="9"/>
  <c r="M362" i="9"/>
  <c r="L362" i="9"/>
  <c r="K362" i="9"/>
  <c r="I362" i="9"/>
  <c r="H362" i="9"/>
  <c r="G362" i="9"/>
  <c r="F362" i="9"/>
  <c r="M361" i="9"/>
  <c r="L361" i="9"/>
  <c r="K361" i="9"/>
  <c r="I361" i="9"/>
  <c r="I360" i="9" s="1"/>
  <c r="H361" i="9"/>
  <c r="G361" i="9"/>
  <c r="F361" i="9"/>
  <c r="L360" i="9"/>
  <c r="J360" i="9"/>
  <c r="N358" i="9"/>
  <c r="M358" i="9"/>
  <c r="L358" i="9"/>
  <c r="K358" i="9"/>
  <c r="K355" i="9" s="1"/>
  <c r="K354" i="9" s="1"/>
  <c r="I358" i="9"/>
  <c r="H358" i="9"/>
  <c r="G358" i="9"/>
  <c r="F358" i="9"/>
  <c r="F355" i="9" s="1"/>
  <c r="F354" i="9" s="1"/>
  <c r="N357" i="9"/>
  <c r="N356" i="9" s="1"/>
  <c r="M357" i="9"/>
  <c r="M356" i="9" s="1"/>
  <c r="M355" i="9" s="1"/>
  <c r="M354" i="9" s="1"/>
  <c r="L357" i="9"/>
  <c r="L356" i="9"/>
  <c r="K356" i="9"/>
  <c r="I356" i="9"/>
  <c r="H356" i="9"/>
  <c r="G356" i="9"/>
  <c r="F356" i="9"/>
  <c r="L355" i="9"/>
  <c r="I355" i="9"/>
  <c r="I354" i="9" s="1"/>
  <c r="L354" i="9"/>
  <c r="J354" i="9"/>
  <c r="M353" i="9"/>
  <c r="N353" i="9" s="1"/>
  <c r="M352" i="9"/>
  <c r="N352" i="9" s="1"/>
  <c r="K351" i="9"/>
  <c r="I351" i="9"/>
  <c r="F351" i="9"/>
  <c r="L351" i="9" s="1"/>
  <c r="L347" i="9" s="1"/>
  <c r="M349" i="9"/>
  <c r="L349" i="9"/>
  <c r="H349" i="9"/>
  <c r="N349" i="9" s="1"/>
  <c r="N348" i="9" s="1"/>
  <c r="M348" i="9"/>
  <c r="L348" i="9"/>
  <c r="K348" i="9"/>
  <c r="I348" i="9"/>
  <c r="H348" i="9"/>
  <c r="G348" i="9"/>
  <c r="F348" i="9"/>
  <c r="K347" i="9"/>
  <c r="I347" i="9"/>
  <c r="M345" i="9"/>
  <c r="M344" i="9"/>
  <c r="L344" i="9"/>
  <c r="H344" i="9"/>
  <c r="N344" i="9" s="1"/>
  <c r="K343" i="9"/>
  <c r="I343" i="9"/>
  <c r="G343" i="9"/>
  <c r="G342" i="9" s="1"/>
  <c r="K342" i="9"/>
  <c r="K341" i="9" s="1"/>
  <c r="I342" i="9"/>
  <c r="J341" i="9"/>
  <c r="I341" i="9"/>
  <c r="J340" i="9"/>
  <c r="M339" i="9"/>
  <c r="L338" i="9"/>
  <c r="F336" i="9"/>
  <c r="J335" i="9"/>
  <c r="L334" i="9"/>
  <c r="G333" i="9"/>
  <c r="H333" i="9" s="1"/>
  <c r="L332" i="9"/>
  <c r="M331" i="9"/>
  <c r="L331" i="9"/>
  <c r="L330" i="9" s="1"/>
  <c r="K331" i="9"/>
  <c r="H331" i="9"/>
  <c r="N331" i="9" s="1"/>
  <c r="N330" i="9" s="1"/>
  <c r="M330" i="9"/>
  <c r="K330" i="9"/>
  <c r="I330" i="9"/>
  <c r="H330" i="9"/>
  <c r="G330" i="9"/>
  <c r="F330" i="9"/>
  <c r="M329" i="9"/>
  <c r="L329" i="9"/>
  <c r="H329" i="9"/>
  <c r="N329" i="9" s="1"/>
  <c r="M328" i="9"/>
  <c r="L328" i="9"/>
  <c r="L327" i="9" s="1"/>
  <c r="H328" i="9"/>
  <c r="N328" i="9" s="1"/>
  <c r="K327" i="9"/>
  <c r="K326" i="9" s="1"/>
  <c r="K325" i="9" s="1"/>
  <c r="K324" i="9" s="1"/>
  <c r="I327" i="9"/>
  <c r="G327" i="9"/>
  <c r="F327" i="9"/>
  <c r="F326" i="9" s="1"/>
  <c r="F325" i="9" s="1"/>
  <c r="J326" i="9"/>
  <c r="I326" i="9"/>
  <c r="I325" i="9" s="1"/>
  <c r="G326" i="9"/>
  <c r="G325" i="9" s="1"/>
  <c r="J325" i="9"/>
  <c r="N323" i="9"/>
  <c r="M323" i="9"/>
  <c r="L323" i="9"/>
  <c r="M322" i="9"/>
  <c r="K322" i="9"/>
  <c r="N322" i="9" s="1"/>
  <c r="J322" i="9"/>
  <c r="I322" i="9"/>
  <c r="L322" i="9" s="1"/>
  <c r="M320" i="9"/>
  <c r="M319" i="9" s="1"/>
  <c r="M318" i="9" s="1"/>
  <c r="M317" i="9" s="1"/>
  <c r="L320" i="9"/>
  <c r="H320" i="9"/>
  <c r="H319" i="9" s="1"/>
  <c r="N319" i="9" s="1"/>
  <c r="N318" i="9" s="1"/>
  <c r="N317" i="9" s="1"/>
  <c r="L319" i="9"/>
  <c r="K319" i="9"/>
  <c r="K318" i="9" s="1"/>
  <c r="I319" i="9"/>
  <c r="G319" i="9"/>
  <c r="F319" i="9"/>
  <c r="F318" i="9" s="1"/>
  <c r="F317" i="9" s="1"/>
  <c r="L318" i="9"/>
  <c r="I318" i="9"/>
  <c r="G318" i="9"/>
  <c r="G317" i="9" s="1"/>
  <c r="K317" i="9"/>
  <c r="J317" i="9"/>
  <c r="N314" i="9"/>
  <c r="M314" i="9"/>
  <c r="L314" i="9"/>
  <c r="K314" i="9"/>
  <c r="I314" i="9"/>
  <c r="H314" i="9"/>
  <c r="G314" i="9"/>
  <c r="F314" i="9"/>
  <c r="N313" i="9"/>
  <c r="M313" i="9"/>
  <c r="L313" i="9"/>
  <c r="K313" i="9"/>
  <c r="I313" i="9"/>
  <c r="I312" i="9" s="1"/>
  <c r="H313" i="9"/>
  <c r="G313" i="9"/>
  <c r="G312" i="9" s="1"/>
  <c r="F313" i="9"/>
  <c r="F312" i="9" s="1"/>
  <c r="N312" i="9"/>
  <c r="M312" i="9"/>
  <c r="L312" i="9"/>
  <c r="K312" i="9"/>
  <c r="J312" i="9"/>
  <c r="H312" i="9"/>
  <c r="M311" i="9"/>
  <c r="L311" i="9"/>
  <c r="K311" i="9"/>
  <c r="N311" i="9" s="1"/>
  <c r="M310" i="9"/>
  <c r="L310" i="9"/>
  <c r="K310" i="9"/>
  <c r="N310" i="9" s="1"/>
  <c r="J310" i="9"/>
  <c r="N307" i="9"/>
  <c r="M307" i="9"/>
  <c r="L307" i="9"/>
  <c r="K307" i="9"/>
  <c r="I307" i="9"/>
  <c r="H307" i="9"/>
  <c r="G307" i="9"/>
  <c r="F307" i="9"/>
  <c r="M306" i="9"/>
  <c r="M304" i="9" s="1"/>
  <c r="M303" i="9" s="1"/>
  <c r="M302" i="9" s="1"/>
  <c r="H306" i="9"/>
  <c r="H303" i="9" s="1"/>
  <c r="H302" i="9" s="1"/>
  <c r="K304" i="9"/>
  <c r="I304" i="9"/>
  <c r="G304" i="9"/>
  <c r="F303" i="9"/>
  <c r="F302" i="9" s="1"/>
  <c r="K303" i="9"/>
  <c r="K302" i="9" s="1"/>
  <c r="J303" i="9"/>
  <c r="I303" i="9"/>
  <c r="I302" i="9" s="1"/>
  <c r="G303" i="9"/>
  <c r="G302" i="9" s="1"/>
  <c r="J302" i="9"/>
  <c r="N300" i="9"/>
  <c r="M300" i="9"/>
  <c r="H300" i="9"/>
  <c r="N299" i="9"/>
  <c r="M299" i="9"/>
  <c r="H299" i="9"/>
  <c r="M298" i="9"/>
  <c r="H298" i="9"/>
  <c r="N297" i="9"/>
  <c r="M297" i="9"/>
  <c r="H297" i="9"/>
  <c r="N295" i="9"/>
  <c r="M295" i="9"/>
  <c r="L295" i="9"/>
  <c r="K295" i="9"/>
  <c r="I295" i="9"/>
  <c r="H295" i="9"/>
  <c r="G295" i="9"/>
  <c r="F295" i="9"/>
  <c r="N294" i="9"/>
  <c r="M294" i="9"/>
  <c r="L294" i="9"/>
  <c r="K294" i="9"/>
  <c r="I294" i="9"/>
  <c r="H294" i="9"/>
  <c r="G294" i="9"/>
  <c r="F294" i="9"/>
  <c r="N292" i="9"/>
  <c r="M292" i="9"/>
  <c r="L292" i="9"/>
  <c r="K292" i="9"/>
  <c r="I292" i="9"/>
  <c r="H292" i="9"/>
  <c r="G292" i="9"/>
  <c r="F292" i="9"/>
  <c r="N291" i="9"/>
  <c r="M291" i="9"/>
  <c r="L291" i="9"/>
  <c r="K291" i="9"/>
  <c r="I291" i="9"/>
  <c r="I290" i="9" s="1"/>
  <c r="H291" i="9"/>
  <c r="H290" i="9" s="1"/>
  <c r="G291" i="9"/>
  <c r="G290" i="9" s="1"/>
  <c r="F291" i="9"/>
  <c r="F290" i="9" s="1"/>
  <c r="N290" i="9"/>
  <c r="M290" i="9"/>
  <c r="L290" i="9"/>
  <c r="K290" i="9"/>
  <c r="J290" i="9"/>
  <c r="N288" i="9"/>
  <c r="M288" i="9"/>
  <c r="L288" i="9"/>
  <c r="K288" i="9"/>
  <c r="I288" i="9"/>
  <c r="H288" i="9"/>
  <c r="G288" i="9"/>
  <c r="F288" i="9"/>
  <c r="N287" i="9"/>
  <c r="M287" i="9"/>
  <c r="M286" i="9" s="1"/>
  <c r="L287" i="9"/>
  <c r="L286" i="9" s="1"/>
  <c r="K287" i="9"/>
  <c r="I287" i="9"/>
  <c r="I286" i="9" s="1"/>
  <c r="H287" i="9"/>
  <c r="H286" i="9" s="1"/>
  <c r="G287" i="9"/>
  <c r="G286" i="9" s="1"/>
  <c r="F287" i="9"/>
  <c r="F286" i="9" s="1"/>
  <c r="N286" i="9"/>
  <c r="K286" i="9"/>
  <c r="J286" i="9"/>
  <c r="N284" i="9"/>
  <c r="M284" i="9"/>
  <c r="L284" i="9"/>
  <c r="K284" i="9"/>
  <c r="I284" i="9"/>
  <c r="H284" i="9"/>
  <c r="G284" i="9"/>
  <c r="F284" i="9"/>
  <c r="M283" i="9"/>
  <c r="M282" i="9" s="1"/>
  <c r="M281" i="9" s="1"/>
  <c r="M280" i="9" s="1"/>
  <c r="L283" i="9"/>
  <c r="L282" i="9" s="1"/>
  <c r="L281" i="9" s="1"/>
  <c r="L280" i="9" s="1"/>
  <c r="H283" i="9"/>
  <c r="N283" i="9" s="1"/>
  <c r="N282" i="9" s="1"/>
  <c r="K282" i="9"/>
  <c r="I282" i="9"/>
  <c r="G282" i="9"/>
  <c r="F282" i="9"/>
  <c r="K281" i="9"/>
  <c r="I281" i="9"/>
  <c r="G281" i="9"/>
  <c r="G280" i="9" s="1"/>
  <c r="F281" i="9"/>
  <c r="F280" i="9" s="1"/>
  <c r="K280" i="9"/>
  <c r="I280" i="9"/>
  <c r="N279" i="9"/>
  <c r="M279" i="9"/>
  <c r="L279" i="9"/>
  <c r="N278" i="9"/>
  <c r="M278" i="9"/>
  <c r="L278" i="9"/>
  <c r="K278" i="9"/>
  <c r="I278" i="9"/>
  <c r="H278" i="9"/>
  <c r="G278" i="9"/>
  <c r="F278" i="9"/>
  <c r="N277" i="9"/>
  <c r="M277" i="9"/>
  <c r="L277" i="9"/>
  <c r="K277" i="9"/>
  <c r="I277" i="9"/>
  <c r="H277" i="9"/>
  <c r="G277" i="9"/>
  <c r="F277" i="9"/>
  <c r="N276" i="9"/>
  <c r="M276" i="9"/>
  <c r="L276" i="9"/>
  <c r="K276" i="9"/>
  <c r="I276" i="9"/>
  <c r="H276" i="9"/>
  <c r="G276" i="9"/>
  <c r="F276" i="9"/>
  <c r="N275" i="9"/>
  <c r="M275" i="9"/>
  <c r="H275" i="9"/>
  <c r="M274" i="9"/>
  <c r="H274" i="9"/>
  <c r="N274" i="9" s="1"/>
  <c r="M273" i="9"/>
  <c r="H273" i="9"/>
  <c r="N273" i="9" s="1"/>
  <c r="N272" i="9"/>
  <c r="M272" i="9"/>
  <c r="H272" i="9"/>
  <c r="N271" i="9"/>
  <c r="L271" i="9"/>
  <c r="L270" i="9" s="1"/>
  <c r="L269" i="9" s="1"/>
  <c r="H271" i="9"/>
  <c r="F271" i="9"/>
  <c r="N270" i="9"/>
  <c r="N269" i="9" s="1"/>
  <c r="M270" i="9"/>
  <c r="M269" i="9" s="1"/>
  <c r="K270" i="9"/>
  <c r="K269" i="9" s="1"/>
  <c r="I270" i="9"/>
  <c r="I269" i="9" s="1"/>
  <c r="H270" i="9"/>
  <c r="H269" i="9" s="1"/>
  <c r="G270" i="9"/>
  <c r="G269" i="9" s="1"/>
  <c r="F270" i="9"/>
  <c r="F269" i="9"/>
  <c r="N268" i="9"/>
  <c r="L268" i="9"/>
  <c r="L267" i="9" s="1"/>
  <c r="L266" i="9" s="1"/>
  <c r="H268" i="9"/>
  <c r="F268" i="9"/>
  <c r="N267" i="9"/>
  <c r="N266" i="9" s="1"/>
  <c r="M267" i="9"/>
  <c r="M266" i="9" s="1"/>
  <c r="K267" i="9"/>
  <c r="K266" i="9" s="1"/>
  <c r="I267" i="9"/>
  <c r="I266" i="9" s="1"/>
  <c r="H267" i="9"/>
  <c r="H266" i="9" s="1"/>
  <c r="G267" i="9"/>
  <c r="G266" i="9" s="1"/>
  <c r="F267" i="9"/>
  <c r="F266" i="9" s="1"/>
  <c r="N264" i="9"/>
  <c r="M264" i="9"/>
  <c r="L264" i="9"/>
  <c r="K264" i="9"/>
  <c r="I264" i="9"/>
  <c r="H264" i="9"/>
  <c r="G264" i="9"/>
  <c r="F264" i="9"/>
  <c r="N263" i="9"/>
  <c r="M263" i="9"/>
  <c r="L263" i="9"/>
  <c r="N262" i="9"/>
  <c r="M262" i="9"/>
  <c r="L262" i="9"/>
  <c r="M261" i="9"/>
  <c r="M260" i="9" s="1"/>
  <c r="L261" i="9"/>
  <c r="L260" i="9" s="1"/>
  <c r="H261" i="9"/>
  <c r="K260" i="9"/>
  <c r="I260" i="9"/>
  <c r="G260" i="9"/>
  <c r="G255" i="9" s="1"/>
  <c r="F260" i="9"/>
  <c r="N258" i="9"/>
  <c r="M258" i="9"/>
  <c r="L258" i="9"/>
  <c r="M257" i="9"/>
  <c r="L257" i="9"/>
  <c r="H257" i="9"/>
  <c r="H256" i="9" s="1"/>
  <c r="K256" i="9"/>
  <c r="I256" i="9"/>
  <c r="I255" i="9" s="1"/>
  <c r="G256" i="9"/>
  <c r="M256" i="9" s="1"/>
  <c r="F256" i="9"/>
  <c r="K255" i="9"/>
  <c r="F255" i="9"/>
  <c r="J254" i="9"/>
  <c r="J253" i="9" s="1"/>
  <c r="M252" i="9"/>
  <c r="M251" i="9" s="1"/>
  <c r="M250" i="9" s="1"/>
  <c r="M249" i="9" s="1"/>
  <c r="L252" i="9"/>
  <c r="N252" i="9"/>
  <c r="N251" i="9" s="1"/>
  <c r="N250" i="9" s="1"/>
  <c r="N249" i="9" s="1"/>
  <c r="L251" i="9"/>
  <c r="L250" i="9" s="1"/>
  <c r="L249" i="9" s="1"/>
  <c r="K251" i="9"/>
  <c r="K250" i="9" s="1"/>
  <c r="K249" i="9" s="1"/>
  <c r="I251" i="9"/>
  <c r="H251" i="9"/>
  <c r="H250" i="9" s="1"/>
  <c r="H249" i="9" s="1"/>
  <c r="G251" i="9"/>
  <c r="G250" i="9" s="1"/>
  <c r="G249" i="9" s="1"/>
  <c r="F251" i="9"/>
  <c r="F250" i="9" s="1"/>
  <c r="F249" i="9" s="1"/>
  <c r="I250" i="9"/>
  <c r="I249" i="9" s="1"/>
  <c r="J249" i="9"/>
  <c r="N247" i="9"/>
  <c r="M247" i="9"/>
  <c r="L247" i="9"/>
  <c r="K247" i="9"/>
  <c r="I247" i="9"/>
  <c r="H247" i="9"/>
  <c r="G247" i="9"/>
  <c r="F247" i="9"/>
  <c r="N246" i="9"/>
  <c r="M246" i="9"/>
  <c r="L246" i="9"/>
  <c r="K246" i="9"/>
  <c r="I246" i="9"/>
  <c r="I245" i="9" s="1"/>
  <c r="H246" i="9"/>
  <c r="H245" i="9" s="1"/>
  <c r="G246" i="9"/>
  <c r="G245" i="9" s="1"/>
  <c r="F246" i="9"/>
  <c r="F245" i="9" s="1"/>
  <c r="N245" i="9"/>
  <c r="M245" i="9"/>
  <c r="L245" i="9"/>
  <c r="K245" i="9"/>
  <c r="K244" i="9" s="1"/>
  <c r="J245" i="9"/>
  <c r="J244" i="9" s="1"/>
  <c r="M243" i="9"/>
  <c r="M242" i="9" s="1"/>
  <c r="L243" i="9"/>
  <c r="H243" i="9"/>
  <c r="H242" i="9"/>
  <c r="G242" i="9"/>
  <c r="M241" i="9"/>
  <c r="M240" i="9" s="1"/>
  <c r="L241" i="9"/>
  <c r="L240" i="9" s="1"/>
  <c r="K241" i="9"/>
  <c r="H241" i="9"/>
  <c r="N241" i="9" s="1"/>
  <c r="N240" i="9" s="1"/>
  <c r="K240" i="9"/>
  <c r="K239" i="9" s="1"/>
  <c r="K238" i="9" s="1"/>
  <c r="I240" i="9"/>
  <c r="I239" i="9" s="1"/>
  <c r="I238" i="9" s="1"/>
  <c r="H240" i="9"/>
  <c r="H239" i="9" s="1"/>
  <c r="H238" i="9" s="1"/>
  <c r="G240" i="9"/>
  <c r="F240" i="9"/>
  <c r="G239" i="9"/>
  <c r="F239" i="9"/>
  <c r="J238" i="9"/>
  <c r="G238" i="9"/>
  <c r="F238" i="9"/>
  <c r="N237" i="9"/>
  <c r="M237" i="9"/>
  <c r="L237" i="9"/>
  <c r="N236" i="9"/>
  <c r="M236" i="9"/>
  <c r="L236" i="9"/>
  <c r="K236" i="9"/>
  <c r="I236" i="9"/>
  <c r="H236" i="9"/>
  <c r="G236" i="9"/>
  <c r="F236" i="9"/>
  <c r="N235" i="9"/>
  <c r="M235" i="9"/>
  <c r="L235" i="9"/>
  <c r="K235" i="9"/>
  <c r="I235" i="9"/>
  <c r="I234" i="9" s="1"/>
  <c r="H235" i="9"/>
  <c r="H234" i="9" s="1"/>
  <c r="G235" i="9"/>
  <c r="G234" i="9" s="1"/>
  <c r="F235" i="9"/>
  <c r="F234" i="9" s="1"/>
  <c r="N234" i="9"/>
  <c r="M234" i="9"/>
  <c r="L234" i="9"/>
  <c r="K234" i="9"/>
  <c r="J234" i="9"/>
  <c r="N233" i="9"/>
  <c r="M233" i="9"/>
  <c r="H233" i="9"/>
  <c r="N232" i="9"/>
  <c r="M232" i="9"/>
  <c r="G232" i="9"/>
  <c r="M228" i="9"/>
  <c r="L228" i="9"/>
  <c r="L227" i="9" s="1"/>
  <c r="L226" i="9" s="1"/>
  <c r="L225" i="9" s="1"/>
  <c r="H228" i="9"/>
  <c r="N228" i="9" s="1"/>
  <c r="N227" i="9" s="1"/>
  <c r="N226" i="9" s="1"/>
  <c r="N225" i="9" s="1"/>
  <c r="M227" i="9"/>
  <c r="K227" i="9"/>
  <c r="I227" i="9"/>
  <c r="H227" i="9"/>
  <c r="G227" i="9"/>
  <c r="F227" i="9"/>
  <c r="M226" i="9"/>
  <c r="M225" i="9" s="1"/>
  <c r="K226" i="9"/>
  <c r="K225" i="9" s="1"/>
  <c r="I226" i="9"/>
  <c r="I225" i="9" s="1"/>
  <c r="H226" i="9"/>
  <c r="H225" i="9" s="1"/>
  <c r="G226" i="9"/>
  <c r="G225" i="9" s="1"/>
  <c r="F226" i="9"/>
  <c r="F225" i="9" s="1"/>
  <c r="J225" i="9"/>
  <c r="N222" i="9"/>
  <c r="M222" i="9"/>
  <c r="L222" i="9"/>
  <c r="K222" i="9"/>
  <c r="I222" i="9"/>
  <c r="H222" i="9"/>
  <c r="G222" i="9"/>
  <c r="F222" i="9"/>
  <c r="N221" i="9"/>
  <c r="M221" i="9"/>
  <c r="L221" i="9"/>
  <c r="K221" i="9"/>
  <c r="I221" i="9"/>
  <c r="H221" i="9"/>
  <c r="G221" i="9"/>
  <c r="F221" i="9"/>
  <c r="N220" i="9"/>
  <c r="M220" i="9"/>
  <c r="L220" i="9"/>
  <c r="K220" i="9"/>
  <c r="I220" i="9"/>
  <c r="H220" i="9"/>
  <c r="G220" i="9"/>
  <c r="F220" i="9"/>
  <c r="M219" i="9"/>
  <c r="L219" i="9"/>
  <c r="K219" i="9"/>
  <c r="N219" i="9"/>
  <c r="M218" i="9"/>
  <c r="L218" i="9"/>
  <c r="K218" i="9"/>
  <c r="N218" i="9"/>
  <c r="M217" i="9"/>
  <c r="L217" i="9"/>
  <c r="K217" i="9"/>
  <c r="H217" i="9"/>
  <c r="M216" i="9"/>
  <c r="L216" i="9"/>
  <c r="K216" i="9"/>
  <c r="J216" i="9"/>
  <c r="H216" i="9"/>
  <c r="G216" i="9"/>
  <c r="K215" i="9"/>
  <c r="K214" i="9" s="1"/>
  <c r="I215" i="9"/>
  <c r="G215" i="9"/>
  <c r="F215" i="9"/>
  <c r="F214" i="9" s="1"/>
  <c r="L214" i="9"/>
  <c r="J214" i="9"/>
  <c r="I214" i="9"/>
  <c r="G214" i="9"/>
  <c r="H214" i="9" s="1"/>
  <c r="M213" i="9"/>
  <c r="N213" i="9" s="1"/>
  <c r="K213" i="9"/>
  <c r="H213" i="9"/>
  <c r="M212" i="9"/>
  <c r="N212" i="9" s="1"/>
  <c r="K212" i="9"/>
  <c r="J212" i="9"/>
  <c r="H212" i="9"/>
  <c r="N211" i="9"/>
  <c r="M211" i="9"/>
  <c r="J211" i="9"/>
  <c r="K211" i="9" s="1"/>
  <c r="H211" i="9"/>
  <c r="J210" i="9"/>
  <c r="H210" i="9"/>
  <c r="M208" i="9"/>
  <c r="L208" i="9"/>
  <c r="H208" i="9"/>
  <c r="N208" i="9" s="1"/>
  <c r="L207" i="9"/>
  <c r="G207" i="9"/>
  <c r="H207" i="9" s="1"/>
  <c r="N207" i="9" s="1"/>
  <c r="F206" i="9"/>
  <c r="M205" i="9"/>
  <c r="L205" i="9"/>
  <c r="N205" i="9"/>
  <c r="L204" i="9"/>
  <c r="G204" i="9"/>
  <c r="F204" i="9"/>
  <c r="F203" i="9"/>
  <c r="L203" i="9" s="1"/>
  <c r="M202" i="9"/>
  <c r="L202" i="9"/>
  <c r="H202" i="9"/>
  <c r="N202" i="9" s="1"/>
  <c r="L201" i="9"/>
  <c r="H201" i="9"/>
  <c r="N201" i="9" s="1"/>
  <c r="G201" i="9"/>
  <c r="M201" i="9" s="1"/>
  <c r="M200" i="9"/>
  <c r="L200" i="9"/>
  <c r="N200" i="9" s="1"/>
  <c r="H200" i="9"/>
  <c r="M199" i="9"/>
  <c r="L199" i="9"/>
  <c r="N199" i="9" s="1"/>
  <c r="H199" i="9"/>
  <c r="M198" i="9"/>
  <c r="M197" i="9" s="1"/>
  <c r="H198" i="9"/>
  <c r="N198" i="9" s="1"/>
  <c r="N197" i="9" s="1"/>
  <c r="K197" i="9"/>
  <c r="K196" i="9" s="1"/>
  <c r="I197" i="9"/>
  <c r="I196" i="9" s="1"/>
  <c r="H197" i="9"/>
  <c r="H196" i="9" s="1"/>
  <c r="G197" i="9"/>
  <c r="F197" i="9"/>
  <c r="L198" i="9" s="1"/>
  <c r="L197" i="9" s="1"/>
  <c r="G196" i="9"/>
  <c r="M195" i="9"/>
  <c r="L195" i="9"/>
  <c r="N195" i="9" s="1"/>
  <c r="N194" i="9" s="1"/>
  <c r="N193" i="9" s="1"/>
  <c r="H195" i="9"/>
  <c r="M194" i="9"/>
  <c r="M193" i="9" s="1"/>
  <c r="L194" i="9"/>
  <c r="L193" i="9" s="1"/>
  <c r="K194" i="9"/>
  <c r="K193" i="9" s="1"/>
  <c r="I194" i="9"/>
  <c r="H194" i="9"/>
  <c r="H193" i="9" s="1"/>
  <c r="G194" i="9"/>
  <c r="G193" i="9" s="1"/>
  <c r="F194" i="9"/>
  <c r="F193" i="9" s="1"/>
  <c r="I193" i="9"/>
  <c r="J192" i="9"/>
  <c r="L191" i="9"/>
  <c r="L190" i="9" s="1"/>
  <c r="L187" i="9" s="1"/>
  <c r="L186" i="9" s="1"/>
  <c r="M191" i="9"/>
  <c r="M190" i="9" s="1"/>
  <c r="M187" i="9" s="1"/>
  <c r="M186" i="9" s="1"/>
  <c r="K190" i="9"/>
  <c r="I190" i="9"/>
  <c r="F190" i="9"/>
  <c r="N188" i="9"/>
  <c r="M188" i="9"/>
  <c r="L188" i="9"/>
  <c r="K188" i="9"/>
  <c r="I188" i="9"/>
  <c r="H188" i="9"/>
  <c r="G188" i="9"/>
  <c r="F188" i="9"/>
  <c r="F187" i="9" s="1"/>
  <c r="F186" i="9" s="1"/>
  <c r="K187" i="9"/>
  <c r="I187" i="9"/>
  <c r="I186" i="9" s="1"/>
  <c r="K186" i="9"/>
  <c r="J186" i="9"/>
  <c r="M181" i="9"/>
  <c r="L181" i="9"/>
  <c r="K181" i="9"/>
  <c r="H181" i="9"/>
  <c r="N181" i="9" s="1"/>
  <c r="M180" i="9"/>
  <c r="J180" i="9"/>
  <c r="I180" i="9"/>
  <c r="K180" i="9" s="1"/>
  <c r="H180" i="9"/>
  <c r="N180" i="9" s="1"/>
  <c r="G180" i="9"/>
  <c r="F180" i="9"/>
  <c r="M179" i="9"/>
  <c r="H179" i="9"/>
  <c r="M178" i="9"/>
  <c r="H178" i="9"/>
  <c r="J176" i="9"/>
  <c r="N175" i="9"/>
  <c r="M175" i="9"/>
  <c r="N174" i="9"/>
  <c r="M174" i="9"/>
  <c r="M173" i="9"/>
  <c r="K173" i="9"/>
  <c r="N173" i="9" s="1"/>
  <c r="N172" i="9"/>
  <c r="M172" i="9"/>
  <c r="L171" i="9"/>
  <c r="L170" i="9" s="1"/>
  <c r="H171" i="9"/>
  <c r="N171" i="9" s="1"/>
  <c r="N170" i="9" s="1"/>
  <c r="M171" i="9"/>
  <c r="M170" i="9" s="1"/>
  <c r="K170" i="9"/>
  <c r="I170" i="9"/>
  <c r="H170" i="9"/>
  <c r="G170" i="9"/>
  <c r="F170" i="9"/>
  <c r="M169" i="9"/>
  <c r="L169" i="9"/>
  <c r="L168" i="9" s="1"/>
  <c r="H169" i="9"/>
  <c r="N169" i="9" s="1"/>
  <c r="N168" i="9" s="1"/>
  <c r="M168" i="9"/>
  <c r="K168" i="9"/>
  <c r="I168" i="9"/>
  <c r="G168" i="9"/>
  <c r="F168" i="9"/>
  <c r="M167" i="9"/>
  <c r="M166" i="9" s="1"/>
  <c r="L167" i="9"/>
  <c r="K167" i="9"/>
  <c r="N167" i="9" s="1"/>
  <c r="N166" i="9" s="1"/>
  <c r="L166" i="9"/>
  <c r="J166" i="9"/>
  <c r="I166" i="9"/>
  <c r="L165" i="9"/>
  <c r="H165" i="9"/>
  <c r="N165" i="9" s="1"/>
  <c r="L164" i="9"/>
  <c r="M163" i="9"/>
  <c r="M162" i="9" s="1"/>
  <c r="L163" i="9"/>
  <c r="L162" i="9" s="1"/>
  <c r="H163" i="9"/>
  <c r="N163" i="9" s="1"/>
  <c r="N162" i="9" s="1"/>
  <c r="K162" i="9"/>
  <c r="I162" i="9"/>
  <c r="G162" i="9"/>
  <c r="F162" i="9"/>
  <c r="M161" i="9"/>
  <c r="N161" i="9" s="1"/>
  <c r="N160" i="9" s="1"/>
  <c r="L161" i="9"/>
  <c r="H161" i="9"/>
  <c r="H160" i="9" s="1"/>
  <c r="L160" i="9"/>
  <c r="K160" i="9"/>
  <c r="I160" i="9"/>
  <c r="G160" i="9"/>
  <c r="F160" i="9"/>
  <c r="M159" i="9"/>
  <c r="L159" i="9"/>
  <c r="L158" i="9" s="1"/>
  <c r="K159" i="9"/>
  <c r="K158" i="9" s="1"/>
  <c r="H159" i="9"/>
  <c r="N159" i="9" s="1"/>
  <c r="N158" i="9" s="1"/>
  <c r="M158" i="9"/>
  <c r="J158" i="9"/>
  <c r="I158" i="9"/>
  <c r="H158" i="9"/>
  <c r="G158" i="9"/>
  <c r="F158" i="9"/>
  <c r="M157" i="9"/>
  <c r="M156" i="9" s="1"/>
  <c r="L157" i="9"/>
  <c r="H157" i="9"/>
  <c r="N157" i="9" s="1"/>
  <c r="N156" i="9" s="1"/>
  <c r="L156" i="9"/>
  <c r="K156" i="9"/>
  <c r="I156" i="9"/>
  <c r="G156" i="9"/>
  <c r="F156" i="9"/>
  <c r="J155" i="9"/>
  <c r="J154" i="9" s="1"/>
  <c r="L153" i="9"/>
  <c r="L152" i="9" s="1"/>
  <c r="K153" i="9"/>
  <c r="N153" i="9" s="1"/>
  <c r="N152" i="9" s="1"/>
  <c r="I153" i="9"/>
  <c r="M152" i="9"/>
  <c r="I152" i="9"/>
  <c r="H152" i="9"/>
  <c r="G152" i="9"/>
  <c r="F152" i="9"/>
  <c r="M151" i="9"/>
  <c r="M150" i="9" s="1"/>
  <c r="K151" i="9"/>
  <c r="I151" i="9"/>
  <c r="L151" i="9" s="1"/>
  <c r="L150" i="9" s="1"/>
  <c r="H151" i="9"/>
  <c r="N151" i="9" s="1"/>
  <c r="N150" i="9" s="1"/>
  <c r="K150" i="9"/>
  <c r="G150" i="9"/>
  <c r="F150" i="9"/>
  <c r="L149" i="9"/>
  <c r="K149" i="9"/>
  <c r="M148" i="9"/>
  <c r="L148" i="9"/>
  <c r="J148" i="9"/>
  <c r="J144" i="9" s="1"/>
  <c r="I148" i="9"/>
  <c r="H148" i="9"/>
  <c r="G148" i="9"/>
  <c r="F148" i="9"/>
  <c r="M147" i="9"/>
  <c r="M145" i="9" s="1"/>
  <c r="L147" i="9"/>
  <c r="H147" i="9"/>
  <c r="N147" i="9" s="1"/>
  <c r="M146" i="9"/>
  <c r="L146" i="9"/>
  <c r="L145" i="9" s="1"/>
  <c r="K146" i="9"/>
  <c r="N146" i="9" s="1"/>
  <c r="H146" i="9"/>
  <c r="H145" i="9" s="1"/>
  <c r="K145" i="9"/>
  <c r="J145" i="9"/>
  <c r="I145" i="9"/>
  <c r="G145" i="9"/>
  <c r="G144" i="9" s="1"/>
  <c r="F145" i="9"/>
  <c r="F144" i="9"/>
  <c r="F143" i="9" s="1"/>
  <c r="L139" i="9"/>
  <c r="L138" i="9" s="1"/>
  <c r="L137" i="9" s="1"/>
  <c r="L136" i="9" s="1"/>
  <c r="N138" i="9"/>
  <c r="N137" i="9" s="1"/>
  <c r="N136" i="9" s="1"/>
  <c r="M138" i="9"/>
  <c r="M137" i="9" s="1"/>
  <c r="K138" i="9"/>
  <c r="K137" i="9" s="1"/>
  <c r="K136" i="9" s="1"/>
  <c r="I138" i="9"/>
  <c r="H138" i="9"/>
  <c r="H137" i="9" s="1"/>
  <c r="H136" i="9" s="1"/>
  <c r="G138" i="9"/>
  <c r="G137" i="9" s="1"/>
  <c r="G136" i="9" s="1"/>
  <c r="M136" i="9" s="1"/>
  <c r="F138" i="9"/>
  <c r="F137" i="9" s="1"/>
  <c r="F136" i="9" s="1"/>
  <c r="I137" i="9"/>
  <c r="I136" i="9" s="1"/>
  <c r="M130" i="9"/>
  <c r="L130" i="9"/>
  <c r="H130" i="9"/>
  <c r="N130" i="9" s="1"/>
  <c r="M129" i="9"/>
  <c r="L129" i="9"/>
  <c r="H129" i="9"/>
  <c r="N129" i="9" s="1"/>
  <c r="G128" i="9"/>
  <c r="H128" i="9" s="1"/>
  <c r="N128" i="9" s="1"/>
  <c r="L127" i="9"/>
  <c r="G127" i="9"/>
  <c r="M127" i="9" s="1"/>
  <c r="M126" i="9"/>
  <c r="L126" i="9"/>
  <c r="N126" i="9" s="1"/>
  <c r="N125" i="9" s="1"/>
  <c r="N124" i="9" s="1"/>
  <c r="H126" i="9"/>
  <c r="M125" i="9"/>
  <c r="M124" i="9" s="1"/>
  <c r="L125" i="9"/>
  <c r="L124" i="9" s="1"/>
  <c r="K125" i="9"/>
  <c r="K124" i="9" s="1"/>
  <c r="K114" i="9" s="1"/>
  <c r="I125" i="9"/>
  <c r="I124" i="9" s="1"/>
  <c r="H125" i="9"/>
  <c r="H124" i="9" s="1"/>
  <c r="G125" i="9"/>
  <c r="G124" i="9" s="1"/>
  <c r="F125" i="9"/>
  <c r="F124" i="9" s="1"/>
  <c r="F114" i="9" s="1"/>
  <c r="M121" i="9"/>
  <c r="L121" i="9"/>
  <c r="N121" i="9"/>
  <c r="M120" i="9"/>
  <c r="L120" i="9"/>
  <c r="N120" i="9"/>
  <c r="M119" i="9"/>
  <c r="L119" i="9"/>
  <c r="H119" i="9"/>
  <c r="F119" i="9"/>
  <c r="N118" i="9"/>
  <c r="M118" i="9"/>
  <c r="M116" i="9" s="1"/>
  <c r="M115" i="9" s="1"/>
  <c r="L118" i="9"/>
  <c r="L116" i="9" s="1"/>
  <c r="L115" i="9" s="1"/>
  <c r="H118" i="9"/>
  <c r="N117" i="9"/>
  <c r="M117" i="9"/>
  <c r="L117" i="9"/>
  <c r="H117" i="9"/>
  <c r="N116" i="9"/>
  <c r="N115" i="9" s="1"/>
  <c r="K116" i="9"/>
  <c r="I116" i="9"/>
  <c r="I115" i="9" s="1"/>
  <c r="H116" i="9"/>
  <c r="G116" i="9"/>
  <c r="F116" i="9"/>
  <c r="K115" i="9"/>
  <c r="H115" i="9"/>
  <c r="G115" i="9"/>
  <c r="F115" i="9"/>
  <c r="J114" i="9"/>
  <c r="N113" i="9"/>
  <c r="N112" i="9" s="1"/>
  <c r="N111" i="9" s="1"/>
  <c r="M113" i="9"/>
  <c r="M112" i="9" s="1"/>
  <c r="M111" i="9" s="1"/>
  <c r="L113" i="9"/>
  <c r="L112" i="9"/>
  <c r="L111" i="9" s="1"/>
  <c r="K112" i="9"/>
  <c r="K111" i="9" s="1"/>
  <c r="I112" i="9"/>
  <c r="H112" i="9"/>
  <c r="H111" i="9" s="1"/>
  <c r="G112" i="9"/>
  <c r="G111" i="9" s="1"/>
  <c r="F112" i="9"/>
  <c r="F111" i="9" s="1"/>
  <c r="I111" i="9"/>
  <c r="N109" i="9"/>
  <c r="M109" i="9"/>
  <c r="L109" i="9"/>
  <c r="K109" i="9"/>
  <c r="I109" i="9"/>
  <c r="I103" i="9" s="1"/>
  <c r="H109" i="9"/>
  <c r="G109" i="9"/>
  <c r="F109" i="9"/>
  <c r="N108" i="9"/>
  <c r="M108" i="9"/>
  <c r="L108" i="9"/>
  <c r="K108" i="9"/>
  <c r="N107" i="9"/>
  <c r="M107" i="9"/>
  <c r="L107" i="9"/>
  <c r="K107" i="9"/>
  <c r="J107" i="9"/>
  <c r="I107" i="9"/>
  <c r="H107" i="9"/>
  <c r="G107" i="9"/>
  <c r="F107" i="9"/>
  <c r="L106" i="9"/>
  <c r="K106" i="9"/>
  <c r="H106" i="9"/>
  <c r="N106" i="9" s="1"/>
  <c r="M106" i="9"/>
  <c r="M105" i="9"/>
  <c r="L105" i="9"/>
  <c r="J105" i="9"/>
  <c r="K105" i="9" s="1"/>
  <c r="K104" i="9" s="1"/>
  <c r="K103" i="9" s="1"/>
  <c r="H105" i="9"/>
  <c r="N105" i="9" s="1"/>
  <c r="J104" i="9"/>
  <c r="J103" i="9" s="1"/>
  <c r="J102" i="9" s="1"/>
  <c r="I104" i="9"/>
  <c r="G104" i="9"/>
  <c r="F104" i="9"/>
  <c r="F103" i="9" s="1"/>
  <c r="N101" i="9"/>
  <c r="M101" i="9"/>
  <c r="M100" i="9" s="1"/>
  <c r="L101" i="9"/>
  <c r="K101" i="9"/>
  <c r="H101" i="9"/>
  <c r="H100" i="9" s="1"/>
  <c r="N100" i="9"/>
  <c r="L100" i="9"/>
  <c r="K100" i="9"/>
  <c r="J100" i="9"/>
  <c r="I100" i="9"/>
  <c r="G100" i="9"/>
  <c r="F100" i="9"/>
  <c r="N99" i="9"/>
  <c r="M99" i="9"/>
  <c r="L99" i="9"/>
  <c r="N98" i="9"/>
  <c r="M98" i="9"/>
  <c r="H98" i="9"/>
  <c r="F98" i="9"/>
  <c r="L98" i="9" s="1"/>
  <c r="M97" i="9"/>
  <c r="L97" i="9"/>
  <c r="H97" i="9"/>
  <c r="N97" i="9" s="1"/>
  <c r="M96" i="9"/>
  <c r="K96" i="9"/>
  <c r="I96" i="9"/>
  <c r="F96" i="9"/>
  <c r="H96" i="9" s="1"/>
  <c r="N95" i="9"/>
  <c r="M95" i="9"/>
  <c r="L95" i="9"/>
  <c r="H95" i="9"/>
  <c r="N94" i="9"/>
  <c r="M94" i="9"/>
  <c r="L94" i="9"/>
  <c r="H94" i="9"/>
  <c r="J93" i="9"/>
  <c r="J92" i="9" s="1"/>
  <c r="J91" i="9" s="1"/>
  <c r="I93" i="9"/>
  <c r="G93" i="9"/>
  <c r="F93" i="9"/>
  <c r="F92" i="9" s="1"/>
  <c r="I92" i="9"/>
  <c r="G92" i="9"/>
  <c r="N89" i="9"/>
  <c r="M89" i="9"/>
  <c r="M88" i="9" s="1"/>
  <c r="M87" i="9" s="1"/>
  <c r="L89" i="9"/>
  <c r="L88" i="9" s="1"/>
  <c r="L87" i="9" s="1"/>
  <c r="K89" i="9"/>
  <c r="K88" i="9" s="1"/>
  <c r="K87" i="9" s="1"/>
  <c r="I89" i="9"/>
  <c r="H89" i="9"/>
  <c r="H88" i="9" s="1"/>
  <c r="H87" i="9" s="1"/>
  <c r="G89" i="9"/>
  <c r="G88" i="9" s="1"/>
  <c r="G87" i="9" s="1"/>
  <c r="F89" i="9"/>
  <c r="F88" i="9" s="1"/>
  <c r="F87" i="9" s="1"/>
  <c r="N88" i="9"/>
  <c r="N87" i="9" s="1"/>
  <c r="I88" i="9"/>
  <c r="I87" i="9" s="1"/>
  <c r="J87" i="9"/>
  <c r="M86" i="9"/>
  <c r="M85" i="9" s="1"/>
  <c r="M84" i="9" s="1"/>
  <c r="H86" i="9"/>
  <c r="L85" i="9"/>
  <c r="L84" i="9" s="1"/>
  <c r="K85" i="9"/>
  <c r="K84" i="9" s="1"/>
  <c r="I85" i="9"/>
  <c r="I84" i="9" s="1"/>
  <c r="H85" i="9"/>
  <c r="H84" i="9" s="1"/>
  <c r="G85" i="9"/>
  <c r="G84" i="9" s="1"/>
  <c r="F85" i="9"/>
  <c r="F84" i="9" s="1"/>
  <c r="N83" i="9"/>
  <c r="N82" i="9" s="1"/>
  <c r="N81" i="9" s="1"/>
  <c r="M83" i="9"/>
  <c r="M82" i="9" s="1"/>
  <c r="M81" i="9" s="1"/>
  <c r="L83" i="9"/>
  <c r="L82" i="9"/>
  <c r="L81" i="9" s="1"/>
  <c r="K82" i="9"/>
  <c r="K81" i="9" s="1"/>
  <c r="I82" i="9"/>
  <c r="H82" i="9"/>
  <c r="H81" i="9" s="1"/>
  <c r="G82" i="9"/>
  <c r="G81" i="9" s="1"/>
  <c r="F82" i="9"/>
  <c r="F81" i="9" s="1"/>
  <c r="I81" i="9"/>
  <c r="J80" i="9"/>
  <c r="J79" i="9"/>
  <c r="M78" i="9"/>
  <c r="L78" i="9"/>
  <c r="N78" i="9"/>
  <c r="M77" i="9"/>
  <c r="L77" i="9"/>
  <c r="H77" i="9"/>
  <c r="N77" i="9" s="1"/>
  <c r="M76" i="9"/>
  <c r="L76" i="9"/>
  <c r="N76" i="9"/>
  <c r="K75" i="9"/>
  <c r="I75" i="9"/>
  <c r="G75" i="9"/>
  <c r="F75" i="9"/>
  <c r="K74" i="9"/>
  <c r="I74" i="9"/>
  <c r="I73" i="9" s="1"/>
  <c r="G74" i="9"/>
  <c r="G73" i="9" s="1"/>
  <c r="F74" i="9"/>
  <c r="F73" i="9" s="1"/>
  <c r="K73" i="9"/>
  <c r="J73" i="9"/>
  <c r="M71" i="9"/>
  <c r="L71" i="9"/>
  <c r="H71" i="9"/>
  <c r="N71" i="9" s="1"/>
  <c r="M70" i="9"/>
  <c r="L70" i="9"/>
  <c r="H70" i="9"/>
  <c r="N70" i="9" s="1"/>
  <c r="K69" i="9"/>
  <c r="I69" i="9"/>
  <c r="H69" i="9"/>
  <c r="G69" i="9"/>
  <c r="F69" i="9"/>
  <c r="K68" i="9"/>
  <c r="I68" i="9"/>
  <c r="H68" i="9"/>
  <c r="G68" i="9"/>
  <c r="F68" i="9"/>
  <c r="N67" i="9"/>
  <c r="L67" i="9"/>
  <c r="N66" i="9"/>
  <c r="L66" i="9"/>
  <c r="N65" i="9"/>
  <c r="L65" i="9"/>
  <c r="N63" i="9"/>
  <c r="L64" i="9"/>
  <c r="M63" i="9"/>
  <c r="L63" i="9"/>
  <c r="K63" i="9"/>
  <c r="I63" i="9"/>
  <c r="H63" i="9"/>
  <c r="H49" i="9" s="1"/>
  <c r="G63" i="9"/>
  <c r="G49" i="9" s="1"/>
  <c r="F63" i="9"/>
  <c r="M62" i="9"/>
  <c r="L62" i="9"/>
  <c r="N62" i="9" s="1"/>
  <c r="N61" i="9" s="1"/>
  <c r="K62" i="9"/>
  <c r="K61" i="9" s="1"/>
  <c r="L61" i="9"/>
  <c r="J61" i="9"/>
  <c r="M61" i="9" s="1"/>
  <c r="M60" i="9"/>
  <c r="N60" i="9" s="1"/>
  <c r="N59" i="9" s="1"/>
  <c r="L60" i="9"/>
  <c r="K60" i="9"/>
  <c r="H60" i="9"/>
  <c r="H59" i="9" s="1"/>
  <c r="L59" i="9"/>
  <c r="K59" i="9"/>
  <c r="J59" i="9"/>
  <c r="I59" i="9"/>
  <c r="G59" i="9"/>
  <c r="F59" i="9"/>
  <c r="M58" i="9"/>
  <c r="L58" i="9"/>
  <c r="L57" i="9" s="1"/>
  <c r="K58" i="9"/>
  <c r="K57" i="9" s="1"/>
  <c r="H58" i="9"/>
  <c r="N58" i="9" s="1"/>
  <c r="N57" i="9" s="1"/>
  <c r="J57" i="9"/>
  <c r="I57" i="9"/>
  <c r="G57" i="9"/>
  <c r="M57" i="9" s="1"/>
  <c r="F57" i="9"/>
  <c r="N53" i="9"/>
  <c r="M53" i="9"/>
  <c r="L53" i="9"/>
  <c r="K53" i="9"/>
  <c r="H53" i="9"/>
  <c r="F53" i="9"/>
  <c r="F50" i="9" s="1"/>
  <c r="M52" i="9"/>
  <c r="M50" i="9" s="1"/>
  <c r="L52" i="9"/>
  <c r="N52" i="9"/>
  <c r="L51" i="9"/>
  <c r="L50" i="9" s="1"/>
  <c r="K51" i="9"/>
  <c r="F51" i="9"/>
  <c r="J50" i="9"/>
  <c r="I50" i="9"/>
  <c r="I48" i="9" s="1"/>
  <c r="G50" i="9"/>
  <c r="N46" i="9"/>
  <c r="M46" i="9"/>
  <c r="L46" i="9"/>
  <c r="K46" i="9"/>
  <c r="I46" i="9"/>
  <c r="H46" i="9"/>
  <c r="G46" i="9"/>
  <c r="F46" i="9"/>
  <c r="N44" i="9"/>
  <c r="M44" i="9"/>
  <c r="L44" i="9"/>
  <c r="K44" i="9"/>
  <c r="I44" i="9"/>
  <c r="H44" i="9"/>
  <c r="G44" i="9"/>
  <c r="F44" i="9"/>
  <c r="M43" i="9"/>
  <c r="L43" i="9"/>
  <c r="K42" i="9"/>
  <c r="I42" i="9"/>
  <c r="H42" i="9"/>
  <c r="H41" i="9" s="1"/>
  <c r="H40" i="9" s="1"/>
  <c r="G42" i="9"/>
  <c r="G41" i="9" s="1"/>
  <c r="G40" i="9" s="1"/>
  <c r="F42" i="9"/>
  <c r="K41" i="9"/>
  <c r="I41" i="9"/>
  <c r="F41" i="9"/>
  <c r="K40" i="9"/>
  <c r="I40" i="9"/>
  <c r="F40" i="9"/>
  <c r="N36" i="9"/>
  <c r="M36" i="9"/>
  <c r="L36" i="9"/>
  <c r="K36" i="9"/>
  <c r="I36" i="9"/>
  <c r="H36" i="9"/>
  <c r="G36" i="9"/>
  <c r="F36" i="9"/>
  <c r="N35" i="9"/>
  <c r="M35" i="9"/>
  <c r="L35" i="9"/>
  <c r="K35" i="9"/>
  <c r="I35" i="9"/>
  <c r="H35" i="9"/>
  <c r="H34" i="9" s="1"/>
  <c r="G35" i="9"/>
  <c r="F35" i="9"/>
  <c r="N34" i="9"/>
  <c r="M34" i="9"/>
  <c r="L34" i="9"/>
  <c r="K34" i="9"/>
  <c r="J34" i="9"/>
  <c r="I34" i="9"/>
  <c r="G34" i="9"/>
  <c r="F34" i="9"/>
  <c r="N33" i="9"/>
  <c r="M33" i="9"/>
  <c r="L33" i="9"/>
  <c r="K33" i="9"/>
  <c r="J32" i="9"/>
  <c r="I32" i="9"/>
  <c r="L32" i="9" s="1"/>
  <c r="M31" i="9"/>
  <c r="M30" i="9" s="1"/>
  <c r="L31" i="9"/>
  <c r="L30" i="9" s="1"/>
  <c r="N31" i="9"/>
  <c r="N30" i="9" s="1"/>
  <c r="K30" i="9"/>
  <c r="I30" i="9"/>
  <c r="G30" i="9"/>
  <c r="F30" i="9"/>
  <c r="M28" i="9"/>
  <c r="L28" i="9"/>
  <c r="K28" i="9"/>
  <c r="K26" i="9" s="1"/>
  <c r="H28" i="9"/>
  <c r="N28" i="9" s="1"/>
  <c r="M27" i="9"/>
  <c r="L27" i="9"/>
  <c r="L26" i="9" s="1"/>
  <c r="H27" i="9"/>
  <c r="N27" i="9" s="1"/>
  <c r="J26" i="9"/>
  <c r="I26" i="9"/>
  <c r="G26" i="9"/>
  <c r="F26" i="9"/>
  <c r="J25" i="9"/>
  <c r="J18" i="9" s="1"/>
  <c r="I25" i="9"/>
  <c r="N24" i="9"/>
  <c r="N23" i="9" s="1"/>
  <c r="M24" i="9"/>
  <c r="L24" i="9"/>
  <c r="H24" i="9"/>
  <c r="H23" i="9" s="1"/>
  <c r="H19" i="9" s="1"/>
  <c r="M23" i="9"/>
  <c r="L23" i="9"/>
  <c r="K23" i="9"/>
  <c r="I23" i="9"/>
  <c r="G23" i="9"/>
  <c r="F23" i="9"/>
  <c r="F19" i="9" s="1"/>
  <c r="M22" i="9"/>
  <c r="K22" i="9"/>
  <c r="M21" i="9"/>
  <c r="K21" i="9"/>
  <c r="N21" i="9" s="1"/>
  <c r="J20" i="9"/>
  <c r="I19" i="9"/>
  <c r="I18" i="9" s="1"/>
  <c r="G19" i="9"/>
  <c r="M410" i="9" l="1"/>
  <c r="M409" i="9" s="1"/>
  <c r="H410" i="9"/>
  <c r="H409" i="9" s="1"/>
  <c r="M204" i="9"/>
  <c r="H204" i="9"/>
  <c r="G203" i="9"/>
  <c r="M203" i="9" s="1"/>
  <c r="M192" i="9" s="1"/>
  <c r="M42" i="9"/>
  <c r="M41" i="9" s="1"/>
  <c r="M40" i="9" s="1"/>
  <c r="N43" i="9"/>
  <c r="N42" i="9" s="1"/>
  <c r="N41" i="9" s="1"/>
  <c r="N40" i="9" s="1"/>
  <c r="F196" i="9"/>
  <c r="N217" i="9"/>
  <c r="F244" i="9"/>
  <c r="L155" i="9"/>
  <c r="I340" i="9"/>
  <c r="F209" i="9"/>
  <c r="F254" i="9"/>
  <c r="L244" i="9"/>
  <c r="I254" i="9"/>
  <c r="K254" i="9"/>
  <c r="K253" i="9" s="1"/>
  <c r="I192" i="9"/>
  <c r="L256" i="9"/>
  <c r="L255" i="9" s="1"/>
  <c r="L254" i="9" s="1"/>
  <c r="L253" i="9" s="1"/>
  <c r="G254" i="9"/>
  <c r="K192" i="9"/>
  <c r="M196" i="9"/>
  <c r="G244" i="9"/>
  <c r="K301" i="9"/>
  <c r="K340" i="9"/>
  <c r="F301" i="9"/>
  <c r="N119" i="9"/>
  <c r="H114" i="9"/>
  <c r="M368" i="9"/>
  <c r="N369" i="9"/>
  <c r="N368" i="9"/>
  <c r="G103" i="9"/>
  <c r="M20" i="9"/>
  <c r="M19" i="9" s="1"/>
  <c r="I102" i="9"/>
  <c r="G253" i="9"/>
  <c r="N281" i="9"/>
  <c r="N280" i="9" s="1"/>
  <c r="L69" i="9"/>
  <c r="L68" i="9" s="1"/>
  <c r="L48" i="9" s="1"/>
  <c r="M69" i="9"/>
  <c r="M68" i="9" s="1"/>
  <c r="L75" i="9"/>
  <c r="L74" i="9" s="1"/>
  <c r="L73" i="9" s="1"/>
  <c r="L20" i="9"/>
  <c r="L19" i="9" s="1"/>
  <c r="I80" i="9"/>
  <c r="I79" i="9" s="1"/>
  <c r="G80" i="9"/>
  <c r="G79" i="9" s="1"/>
  <c r="M93" i="9"/>
  <c r="M92" i="9" s="1"/>
  <c r="J324" i="9"/>
  <c r="K148" i="9"/>
  <c r="N149" i="9"/>
  <c r="N244" i="9"/>
  <c r="G143" i="9"/>
  <c r="M144" i="9"/>
  <c r="M143" i="9" s="1"/>
  <c r="K386" i="9"/>
  <c r="K152" i="9"/>
  <c r="N50" i="9"/>
  <c r="M75" i="9"/>
  <c r="M74" i="9" s="1"/>
  <c r="M73" i="9" s="1"/>
  <c r="H162" i="9"/>
  <c r="N306" i="9"/>
  <c r="N303" i="9" s="1"/>
  <c r="N302" i="9" s="1"/>
  <c r="N301" i="9" s="1"/>
  <c r="K80" i="9"/>
  <c r="K79" i="9" s="1"/>
  <c r="I114" i="9"/>
  <c r="J209" i="9"/>
  <c r="I244" i="9"/>
  <c r="L196" i="9"/>
  <c r="K209" i="9"/>
  <c r="I253" i="9"/>
  <c r="I39" i="9"/>
  <c r="F102" i="9"/>
  <c r="F91" i="9" s="1"/>
  <c r="G102" i="9"/>
  <c r="K102" i="9"/>
  <c r="L80" i="9"/>
  <c r="L79" i="9" s="1"/>
  <c r="F80" i="9"/>
  <c r="F79" i="9" s="1"/>
  <c r="M26" i="9"/>
  <c r="M25" i="9" s="1"/>
  <c r="F18" i="9"/>
  <c r="F25" i="9"/>
  <c r="L25" i="9"/>
  <c r="L18" i="9" s="1"/>
  <c r="N148" i="9"/>
  <c r="M343" i="9"/>
  <c r="M342" i="9" s="1"/>
  <c r="H26" i="9"/>
  <c r="N26" i="9"/>
  <c r="N25" i="9" s="1"/>
  <c r="G25" i="9"/>
  <c r="G18" i="9" s="1"/>
  <c r="N355" i="9"/>
  <c r="N354" i="9" s="1"/>
  <c r="G355" i="9"/>
  <c r="G354" i="9" s="1"/>
  <c r="H355" i="9"/>
  <c r="H354" i="9" s="1"/>
  <c r="M80" i="9"/>
  <c r="M79" i="9" s="1"/>
  <c r="L303" i="9"/>
  <c r="L302" i="9" s="1"/>
  <c r="I154" i="9"/>
  <c r="K166" i="9"/>
  <c r="J49" i="9"/>
  <c r="J48" i="9" s="1"/>
  <c r="J39" i="9" s="1"/>
  <c r="K20" i="9"/>
  <c r="K19" i="9" s="1"/>
  <c r="N22" i="9"/>
  <c r="N20" i="9" s="1"/>
  <c r="N19" i="9" s="1"/>
  <c r="L114" i="9"/>
  <c r="N412" i="9"/>
  <c r="F397" i="9"/>
  <c r="F409" i="9"/>
  <c r="H168" i="9"/>
  <c r="F154" i="9"/>
  <c r="N400" i="9"/>
  <c r="L399" i="9"/>
  <c r="L398" i="9" s="1"/>
  <c r="L397" i="9" s="1"/>
  <c r="L386" i="9" s="1"/>
  <c r="F379" i="9"/>
  <c r="F347" i="9"/>
  <c r="F341" i="9" s="1"/>
  <c r="F340" i="9" s="1"/>
  <c r="H345" i="9"/>
  <c r="L345" i="9"/>
  <c r="L343" i="9" s="1"/>
  <c r="L342" i="9" s="1"/>
  <c r="L341" i="9" s="1"/>
  <c r="L340" i="9" s="1"/>
  <c r="M327" i="9"/>
  <c r="M326" i="9" s="1"/>
  <c r="M325" i="9" s="1"/>
  <c r="N327" i="9"/>
  <c r="N326" i="9" s="1"/>
  <c r="N325" i="9" s="1"/>
  <c r="L326" i="9"/>
  <c r="L325" i="9" s="1"/>
  <c r="M301" i="9"/>
  <c r="N320" i="9"/>
  <c r="G301" i="9"/>
  <c r="F253" i="9"/>
  <c r="H209" i="9"/>
  <c r="N209" i="9" s="1"/>
  <c r="G209" i="9"/>
  <c r="M239" i="9"/>
  <c r="M238" i="9" s="1"/>
  <c r="N243" i="9"/>
  <c r="N242" i="9" s="1"/>
  <c r="L239" i="9"/>
  <c r="L238" i="9" s="1"/>
  <c r="L242" i="9"/>
  <c r="N239" i="9"/>
  <c r="N238" i="9" s="1"/>
  <c r="M207" i="9"/>
  <c r="G206" i="9"/>
  <c r="M206" i="9" s="1"/>
  <c r="M160" i="9"/>
  <c r="H127" i="9"/>
  <c r="N127" i="9" s="1"/>
  <c r="L104" i="9"/>
  <c r="L103" i="9" s="1"/>
  <c r="L102" i="9" s="1"/>
  <c r="N104" i="9"/>
  <c r="N103" i="9" s="1"/>
  <c r="N102" i="9" s="1"/>
  <c r="N86" i="9"/>
  <c r="N85" i="9" s="1"/>
  <c r="N84" i="9" s="1"/>
  <c r="N80" i="9" s="1"/>
  <c r="N79" i="9" s="1"/>
  <c r="H80" i="9"/>
  <c r="H79" i="9" s="1"/>
  <c r="H57" i="9"/>
  <c r="G48" i="9"/>
  <c r="G39" i="9" s="1"/>
  <c r="F49" i="9"/>
  <c r="F48" i="9" s="1"/>
  <c r="N69" i="9"/>
  <c r="N68" i="9" s="1"/>
  <c r="F39" i="9"/>
  <c r="H93" i="9"/>
  <c r="H92" i="9" s="1"/>
  <c r="L144" i="9"/>
  <c r="L143" i="9" s="1"/>
  <c r="L154" i="9"/>
  <c r="I144" i="9"/>
  <c r="I143" i="9" s="1"/>
  <c r="I135" i="9" s="1"/>
  <c r="K25" i="9"/>
  <c r="N75" i="9"/>
  <c r="N74" i="9" s="1"/>
  <c r="N73" i="9" s="1"/>
  <c r="N96" i="9"/>
  <c r="N93" i="9" s="1"/>
  <c r="N92" i="9" s="1"/>
  <c r="M104" i="9"/>
  <c r="M103" i="9" s="1"/>
  <c r="M102" i="9" s="1"/>
  <c r="N145" i="9"/>
  <c r="L42" i="9"/>
  <c r="L41" i="9" s="1"/>
  <c r="L40" i="9" s="1"/>
  <c r="K93" i="9"/>
  <c r="K92" i="9" s="1"/>
  <c r="L96" i="9"/>
  <c r="L93" i="9" s="1"/>
  <c r="L92" i="9" s="1"/>
  <c r="H30" i="9"/>
  <c r="K32" i="9"/>
  <c r="N32" i="9" s="1"/>
  <c r="K50" i="9"/>
  <c r="K49" i="9" s="1"/>
  <c r="K48" i="9" s="1"/>
  <c r="K39" i="9" s="1"/>
  <c r="H75" i="9"/>
  <c r="H74" i="9" s="1"/>
  <c r="H73" i="9" s="1"/>
  <c r="H104" i="9"/>
  <c r="H103" i="9" s="1"/>
  <c r="H102" i="9" s="1"/>
  <c r="M128" i="9"/>
  <c r="H150" i="9"/>
  <c r="H144" i="9" s="1"/>
  <c r="H143" i="9" s="1"/>
  <c r="N196" i="9"/>
  <c r="L215" i="9"/>
  <c r="I209" i="9"/>
  <c r="L209" i="9" s="1"/>
  <c r="N257" i="9"/>
  <c r="N256" i="9" s="1"/>
  <c r="H50" i="9"/>
  <c r="H48" i="9" s="1"/>
  <c r="M59" i="9"/>
  <c r="J143" i="9"/>
  <c r="J135" i="9" s="1"/>
  <c r="I150" i="9"/>
  <c r="H156" i="9"/>
  <c r="G164" i="9"/>
  <c r="M165" i="9"/>
  <c r="L180" i="9"/>
  <c r="N204" i="9"/>
  <c r="H203" i="9"/>
  <c r="N203" i="9" s="1"/>
  <c r="M210" i="9"/>
  <c r="K210" i="9"/>
  <c r="N210" i="9" s="1"/>
  <c r="M215" i="9"/>
  <c r="M214" i="9" s="1"/>
  <c r="H215" i="9"/>
  <c r="N216" i="9"/>
  <c r="M244" i="9"/>
  <c r="H244" i="9"/>
  <c r="M255" i="9"/>
  <c r="M254" i="9" s="1"/>
  <c r="M253" i="9" s="1"/>
  <c r="H255" i="9"/>
  <c r="H254" i="9" s="1"/>
  <c r="K176" i="9"/>
  <c r="L206" i="9"/>
  <c r="L192" i="9" s="1"/>
  <c r="F192" i="9"/>
  <c r="N261" i="9"/>
  <c r="N260" i="9" s="1"/>
  <c r="H260" i="9"/>
  <c r="H191" i="9"/>
  <c r="G190" i="9"/>
  <c r="G187" i="9" s="1"/>
  <c r="G186" i="9" s="1"/>
  <c r="H206" i="9"/>
  <c r="N206" i="9" s="1"/>
  <c r="N214" i="9"/>
  <c r="J301" i="9"/>
  <c r="H334" i="9"/>
  <c r="N334" i="9" s="1"/>
  <c r="M334" i="9"/>
  <c r="G332" i="9"/>
  <c r="H338" i="9"/>
  <c r="N338" i="9" s="1"/>
  <c r="G337" i="9"/>
  <c r="M337" i="9" s="1"/>
  <c r="H282" i="9"/>
  <c r="H281" i="9" s="1"/>
  <c r="H280" i="9" s="1"/>
  <c r="I317" i="9"/>
  <c r="I301" i="9" s="1"/>
  <c r="H327" i="9"/>
  <c r="H326" i="9" s="1"/>
  <c r="H325" i="9" s="1"/>
  <c r="L337" i="9"/>
  <c r="F335" i="9"/>
  <c r="F324" i="9" s="1"/>
  <c r="I386" i="9"/>
  <c r="L392" i="9"/>
  <c r="L391" i="9" s="1"/>
  <c r="M399" i="9"/>
  <c r="M398" i="9" s="1"/>
  <c r="M397" i="9" s="1"/>
  <c r="H318" i="9"/>
  <c r="H317" i="9" s="1"/>
  <c r="H301" i="9" s="1"/>
  <c r="M333" i="9"/>
  <c r="N333" i="9" s="1"/>
  <c r="M351" i="9"/>
  <c r="N417" i="9"/>
  <c r="N413" i="9" s="1"/>
  <c r="H413" i="9"/>
  <c r="G351" i="9"/>
  <c r="G347" i="9" s="1"/>
  <c r="G341" i="9" s="1"/>
  <c r="H351" i="9"/>
  <c r="H347" i="9" s="1"/>
  <c r="M380" i="9"/>
  <c r="M379" i="9" s="1"/>
  <c r="M417" i="9"/>
  <c r="M413" i="9" s="1"/>
  <c r="H419" i="9"/>
  <c r="N419" i="9" s="1"/>
  <c r="G399" i="9"/>
  <c r="G398" i="9" s="1"/>
  <c r="G397" i="9" s="1"/>
  <c r="G386" i="9" s="1"/>
  <c r="H399" i="9"/>
  <c r="H398" i="9" s="1"/>
  <c r="G418" i="9"/>
  <c r="G104" i="8"/>
  <c r="N114" i="9" l="1"/>
  <c r="G192" i="9"/>
  <c r="H91" i="9"/>
  <c r="I91" i="9"/>
  <c r="I17" i="9" s="1"/>
  <c r="I16" i="9" s="1"/>
  <c r="K91" i="9"/>
  <c r="M18" i="9"/>
  <c r="M48" i="9"/>
  <c r="M39" i="9" s="1"/>
  <c r="N48" i="9"/>
  <c r="N39" i="9" s="1"/>
  <c r="L39" i="9"/>
  <c r="K144" i="9"/>
  <c r="K143" i="9" s="1"/>
  <c r="K155" i="9"/>
  <c r="K154" i="9" s="1"/>
  <c r="K135" i="9" s="1"/>
  <c r="F135" i="9"/>
  <c r="F17" i="9" s="1"/>
  <c r="F16" i="9" s="1"/>
  <c r="M386" i="9"/>
  <c r="J17" i="9"/>
  <c r="J16" i="9" s="1"/>
  <c r="N255" i="9"/>
  <c r="N254" i="9" s="1"/>
  <c r="N253" i="9" s="1"/>
  <c r="M209" i="9"/>
  <c r="N18" i="9"/>
  <c r="H25" i="9"/>
  <c r="H18" i="9" s="1"/>
  <c r="N144" i="9"/>
  <c r="N143" i="9" s="1"/>
  <c r="G340" i="9"/>
  <c r="K18" i="9"/>
  <c r="L91" i="9"/>
  <c r="N410" i="9"/>
  <c r="N409" i="9" s="1"/>
  <c r="H397" i="9"/>
  <c r="H386" i="9" s="1"/>
  <c r="N399" i="9"/>
  <c r="N398" i="9" s="1"/>
  <c r="N345" i="9"/>
  <c r="N343" i="9" s="1"/>
  <c r="N342" i="9" s="1"/>
  <c r="H343" i="9"/>
  <c r="H342" i="9" s="1"/>
  <c r="H341" i="9" s="1"/>
  <c r="H340" i="9" s="1"/>
  <c r="H253" i="9"/>
  <c r="N192" i="9"/>
  <c r="L135" i="9"/>
  <c r="N351" i="9"/>
  <c r="N347" i="9" s="1"/>
  <c r="M347" i="9"/>
  <c r="M341" i="9" s="1"/>
  <c r="M340" i="9" s="1"/>
  <c r="L317" i="9"/>
  <c r="L301" i="9" s="1"/>
  <c r="H337" i="9"/>
  <c r="N337" i="9" s="1"/>
  <c r="H332" i="9"/>
  <c r="N332" i="9" s="1"/>
  <c r="M332" i="9"/>
  <c r="G155" i="9"/>
  <c r="G154" i="9" s="1"/>
  <c r="H164" i="9"/>
  <c r="N164" i="9" s="1"/>
  <c r="N155" i="9" s="1"/>
  <c r="M164" i="9"/>
  <c r="M155" i="9" s="1"/>
  <c r="L335" i="9"/>
  <c r="L324" i="9" s="1"/>
  <c r="L336" i="9"/>
  <c r="G336" i="9"/>
  <c r="G335" i="9"/>
  <c r="G324" i="9" s="1"/>
  <c r="M324" i="9" s="1"/>
  <c r="H39" i="9"/>
  <c r="H418" i="9"/>
  <c r="N418" i="9" s="1"/>
  <c r="M418" i="9"/>
  <c r="H190" i="9"/>
  <c r="H187" i="9" s="1"/>
  <c r="H186" i="9" s="1"/>
  <c r="N191" i="9"/>
  <c r="N190" i="9" s="1"/>
  <c r="N187" i="9" s="1"/>
  <c r="N186" i="9" s="1"/>
  <c r="N215" i="9"/>
  <c r="H192" i="9"/>
  <c r="N49" i="8"/>
  <c r="M49" i="8"/>
  <c r="K49" i="8"/>
  <c r="J49" i="8"/>
  <c r="N60" i="8"/>
  <c r="N59" i="8"/>
  <c r="L60" i="8"/>
  <c r="M60" i="8"/>
  <c r="M59" i="8"/>
  <c r="L59" i="8"/>
  <c r="K59" i="8"/>
  <c r="J59" i="8"/>
  <c r="K60" i="8"/>
  <c r="K58" i="8"/>
  <c r="G135" i="9" l="1"/>
  <c r="H155" i="9"/>
  <c r="H154" i="9" s="1"/>
  <c r="H135" i="9" s="1"/>
  <c r="M154" i="9"/>
  <c r="M135" i="9" s="1"/>
  <c r="N154" i="9"/>
  <c r="N135" i="9" s="1"/>
  <c r="K17" i="9"/>
  <c r="K16" i="9" s="1"/>
  <c r="L17" i="9"/>
  <c r="L16" i="9" s="1"/>
  <c r="N397" i="9"/>
  <c r="N386" i="9" s="1"/>
  <c r="N341" i="9"/>
  <c r="N340" i="9" s="1"/>
  <c r="M335" i="9"/>
  <c r="M336" i="9"/>
  <c r="H335" i="9"/>
  <c r="H324" i="9" s="1"/>
  <c r="H336" i="9"/>
  <c r="N397" i="8"/>
  <c r="L397" i="8"/>
  <c r="H17" i="9" l="1"/>
  <c r="H16" i="9" s="1"/>
  <c r="N336" i="9"/>
  <c r="N335" i="9"/>
  <c r="H325" i="8"/>
  <c r="G326" i="8"/>
  <c r="G322" i="8"/>
  <c r="H316" i="8"/>
  <c r="N316" i="8" s="1"/>
  <c r="N144" i="8"/>
  <c r="M144" i="8"/>
  <c r="L144" i="8"/>
  <c r="J144" i="8"/>
  <c r="N156" i="8"/>
  <c r="M156" i="8"/>
  <c r="L156" i="8"/>
  <c r="J155" i="8"/>
  <c r="K155" i="8"/>
  <c r="L155" i="8"/>
  <c r="M155" i="8"/>
  <c r="N155" i="8"/>
  <c r="I155" i="8"/>
  <c r="K156" i="8"/>
  <c r="M404" i="8"/>
  <c r="L404" i="8"/>
  <c r="G404" i="8"/>
  <c r="H404" i="8" s="1"/>
  <c r="N404" i="8" s="1"/>
  <c r="L403" i="8"/>
  <c r="H403" i="8"/>
  <c r="N403" i="8" s="1"/>
  <c r="G403" i="8"/>
  <c r="M403" i="8" s="1"/>
  <c r="L402" i="8"/>
  <c r="G402" i="8"/>
  <c r="I400" i="8"/>
  <c r="N399" i="8"/>
  <c r="I399" i="8"/>
  <c r="F399" i="8"/>
  <c r="L398" i="8"/>
  <c r="I398" i="8"/>
  <c r="F398" i="8"/>
  <c r="M397" i="8"/>
  <c r="H397" i="8"/>
  <c r="N396" i="8"/>
  <c r="M396" i="8"/>
  <c r="M395" i="8" s="1"/>
  <c r="M394" i="8" s="1"/>
  <c r="L396" i="8"/>
  <c r="H396" i="8"/>
  <c r="K395" i="8"/>
  <c r="K394" i="8" s="1"/>
  <c r="I395" i="8"/>
  <c r="G395" i="8"/>
  <c r="G394" i="8" s="1"/>
  <c r="F395" i="8"/>
  <c r="L395" i="8" s="1"/>
  <c r="L394" i="8" s="1"/>
  <c r="J394" i="8"/>
  <c r="J382" i="8" s="1"/>
  <c r="I394" i="8"/>
  <c r="F394" i="8"/>
  <c r="N392" i="8"/>
  <c r="M392" i="8"/>
  <c r="L392" i="8"/>
  <c r="K392" i="8"/>
  <c r="I392" i="8"/>
  <c r="H392" i="8"/>
  <c r="G392" i="8"/>
  <c r="F392" i="8"/>
  <c r="N389" i="8"/>
  <c r="L389" i="8"/>
  <c r="K389" i="8"/>
  <c r="K388" i="8" s="1"/>
  <c r="I389" i="8"/>
  <c r="N388" i="8"/>
  <c r="M388" i="8"/>
  <c r="I388" i="8"/>
  <c r="H388" i="8"/>
  <c r="G388" i="8"/>
  <c r="F388" i="8"/>
  <c r="M387" i="8"/>
  <c r="L387" i="8"/>
  <c r="H387" i="8"/>
  <c r="N387" i="8" s="1"/>
  <c r="G386" i="8"/>
  <c r="M385" i="8"/>
  <c r="L385" i="8"/>
  <c r="H385" i="8"/>
  <c r="K384" i="8"/>
  <c r="K383" i="8" s="1"/>
  <c r="K382" i="8" s="1"/>
  <c r="I384" i="8"/>
  <c r="I383" i="8" s="1"/>
  <c r="I382" i="8" s="1"/>
  <c r="F384" i="8"/>
  <c r="F383" i="8" s="1"/>
  <c r="J383" i="8"/>
  <c r="N381" i="8"/>
  <c r="N380" i="8" s="1"/>
  <c r="L381" i="8"/>
  <c r="H381" i="8"/>
  <c r="F381" i="8"/>
  <c r="F380" i="8" s="1"/>
  <c r="M380" i="8"/>
  <c r="L380" i="8"/>
  <c r="K380" i="8"/>
  <c r="I380" i="8"/>
  <c r="H380" i="8"/>
  <c r="G380" i="8"/>
  <c r="N379" i="8"/>
  <c r="N378" i="8" s="1"/>
  <c r="L379" i="8"/>
  <c r="H379" i="8"/>
  <c r="F379" i="8"/>
  <c r="F378" i="8" s="1"/>
  <c r="M378" i="8"/>
  <c r="M377" i="8" s="1"/>
  <c r="L378" i="8"/>
  <c r="K378" i="8"/>
  <c r="I378" i="8"/>
  <c r="H378" i="8"/>
  <c r="H377" i="8" s="1"/>
  <c r="H376" i="8" s="1"/>
  <c r="G378" i="8"/>
  <c r="N377" i="8"/>
  <c r="N376" i="8" s="1"/>
  <c r="K377" i="8"/>
  <c r="K376" i="8" s="1"/>
  <c r="J377" i="8"/>
  <c r="I377" i="8"/>
  <c r="G377" i="8"/>
  <c r="G376" i="8" s="1"/>
  <c r="M376" i="8"/>
  <c r="J376" i="8"/>
  <c r="I376" i="8"/>
  <c r="M375" i="8"/>
  <c r="M374" i="8" s="1"/>
  <c r="M373" i="8" s="1"/>
  <c r="M372" i="8" s="1"/>
  <c r="L375" i="8"/>
  <c r="H375" i="8"/>
  <c r="N375" i="8" s="1"/>
  <c r="N374" i="8"/>
  <c r="N373" i="8" s="1"/>
  <c r="N372" i="8" s="1"/>
  <c r="K374" i="8"/>
  <c r="K373" i="8" s="1"/>
  <c r="K372" i="8" s="1"/>
  <c r="K371" i="8" s="1"/>
  <c r="I374" i="8"/>
  <c r="H374" i="8"/>
  <c r="G374" i="8"/>
  <c r="F374" i="8"/>
  <c r="F373" i="8" s="1"/>
  <c r="F372" i="8" s="1"/>
  <c r="J373" i="8"/>
  <c r="I373" i="8"/>
  <c r="I372" i="8" s="1"/>
  <c r="H373" i="8"/>
  <c r="H372" i="8" s="1"/>
  <c r="G373" i="8"/>
  <c r="J372" i="8"/>
  <c r="G372" i="8"/>
  <c r="N370" i="8"/>
  <c r="M370" i="8"/>
  <c r="L370" i="8"/>
  <c r="H370" i="8"/>
  <c r="M369" i="8"/>
  <c r="L369" i="8"/>
  <c r="H369" i="8"/>
  <c r="N369" i="8" s="1"/>
  <c r="N368" i="8"/>
  <c r="M368" i="8"/>
  <c r="L368" i="8"/>
  <c r="H368" i="8"/>
  <c r="M367" i="8"/>
  <c r="L367" i="8"/>
  <c r="L366" i="8" s="1"/>
  <c r="H367" i="8"/>
  <c r="N367" i="8" s="1"/>
  <c r="N366" i="8"/>
  <c r="N365" i="8" s="1"/>
  <c r="M366" i="8"/>
  <c r="K366" i="8"/>
  <c r="I366" i="8"/>
  <c r="I365" i="8" s="1"/>
  <c r="H366" i="8"/>
  <c r="H365" i="8" s="1"/>
  <c r="H364" i="8" s="1"/>
  <c r="G366" i="8"/>
  <c r="F366" i="8"/>
  <c r="L365" i="8"/>
  <c r="K365" i="8"/>
  <c r="K364" i="8" s="1"/>
  <c r="G365" i="8"/>
  <c r="F365" i="8"/>
  <c r="N364" i="8"/>
  <c r="J364" i="8"/>
  <c r="I364" i="8"/>
  <c r="F364" i="8"/>
  <c r="M363" i="8"/>
  <c r="M362" i="8" s="1"/>
  <c r="M361" i="8" s="1"/>
  <c r="M360" i="8" s="1"/>
  <c r="L363" i="8"/>
  <c r="H363" i="8"/>
  <c r="N363" i="8" s="1"/>
  <c r="N362" i="8"/>
  <c r="N361" i="8" s="1"/>
  <c r="K362" i="8"/>
  <c r="K361" i="8" s="1"/>
  <c r="K360" i="8" s="1"/>
  <c r="I362" i="8"/>
  <c r="I361" i="8" s="1"/>
  <c r="I360" i="8" s="1"/>
  <c r="H362" i="8"/>
  <c r="G362" i="8"/>
  <c r="F362" i="8"/>
  <c r="F361" i="8" s="1"/>
  <c r="H361" i="8"/>
  <c r="H360" i="8" s="1"/>
  <c r="G361" i="8"/>
  <c r="G360" i="8" s="1"/>
  <c r="N360" i="8"/>
  <c r="J360" i="8"/>
  <c r="F360" i="8"/>
  <c r="N359" i="8"/>
  <c r="M359" i="8"/>
  <c r="N358" i="8"/>
  <c r="M358" i="8"/>
  <c r="M357" i="8" s="1"/>
  <c r="M356" i="8" s="1"/>
  <c r="L358" i="8"/>
  <c r="H358" i="8"/>
  <c r="L357" i="8"/>
  <c r="K357" i="8"/>
  <c r="K356" i="8" s="1"/>
  <c r="I357" i="8"/>
  <c r="H357" i="8"/>
  <c r="G357" i="8"/>
  <c r="G356" i="8" s="1"/>
  <c r="F357" i="8"/>
  <c r="F356" i="8" s="1"/>
  <c r="I356" i="8"/>
  <c r="H356" i="8"/>
  <c r="M355" i="8"/>
  <c r="L355" i="8"/>
  <c r="H355" i="8"/>
  <c r="M354" i="8"/>
  <c r="M353" i="8" s="1"/>
  <c r="K354" i="8"/>
  <c r="I354" i="8"/>
  <c r="I353" i="8" s="1"/>
  <c r="H354" i="8"/>
  <c r="H353" i="8" s="1"/>
  <c r="G354" i="8"/>
  <c r="F354" i="8"/>
  <c r="K353" i="8"/>
  <c r="G353" i="8"/>
  <c r="F353" i="8"/>
  <c r="N352" i="8"/>
  <c r="M352" i="8"/>
  <c r="M350" i="8" s="1"/>
  <c r="M349" i="8" s="1"/>
  <c r="L352" i="8"/>
  <c r="H352" i="8"/>
  <c r="M351" i="8"/>
  <c r="L351" i="8"/>
  <c r="H351" i="8"/>
  <c r="N351" i="8" s="1"/>
  <c r="K350" i="8"/>
  <c r="I350" i="8"/>
  <c r="I349" i="8" s="1"/>
  <c r="I348" i="8" s="1"/>
  <c r="H350" i="8"/>
  <c r="H349" i="8" s="1"/>
  <c r="H348" i="8" s="1"/>
  <c r="G350" i="8"/>
  <c r="F350" i="8"/>
  <c r="K349" i="8"/>
  <c r="G349" i="8"/>
  <c r="F349" i="8"/>
  <c r="F348" i="8" s="1"/>
  <c r="M348" i="8"/>
  <c r="J348" i="8"/>
  <c r="N346" i="8"/>
  <c r="M346" i="8"/>
  <c r="L346" i="8"/>
  <c r="K346" i="8"/>
  <c r="I346" i="8"/>
  <c r="H346" i="8"/>
  <c r="G346" i="8"/>
  <c r="F346" i="8"/>
  <c r="N345" i="8"/>
  <c r="M345" i="8"/>
  <c r="M344" i="8" s="1"/>
  <c r="M343" i="8" s="1"/>
  <c r="M342" i="8" s="1"/>
  <c r="L345" i="8"/>
  <c r="N344" i="8"/>
  <c r="N343" i="8" s="1"/>
  <c r="K344" i="8"/>
  <c r="I344" i="8"/>
  <c r="H344" i="8"/>
  <c r="H343" i="8" s="1"/>
  <c r="G344" i="8"/>
  <c r="F344" i="8"/>
  <c r="K343" i="8"/>
  <c r="K342" i="8" s="1"/>
  <c r="I343" i="8"/>
  <c r="I342" i="8" s="1"/>
  <c r="G343" i="8"/>
  <c r="F343" i="8"/>
  <c r="N342" i="8"/>
  <c r="J342" i="8"/>
  <c r="J328" i="8" s="1"/>
  <c r="H342" i="8"/>
  <c r="G342" i="8"/>
  <c r="F342" i="8"/>
  <c r="M341" i="8"/>
  <c r="G340" i="8"/>
  <c r="L339" i="8"/>
  <c r="K339" i="8"/>
  <c r="I339" i="8"/>
  <c r="F339" i="8"/>
  <c r="M337" i="8"/>
  <c r="L337" i="8"/>
  <c r="L336" i="8" s="1"/>
  <c r="H337" i="8"/>
  <c r="M336" i="8"/>
  <c r="K336" i="8"/>
  <c r="K335" i="8" s="1"/>
  <c r="I336" i="8"/>
  <c r="I335" i="8" s="1"/>
  <c r="G336" i="8"/>
  <c r="F336" i="8"/>
  <c r="F335" i="8" s="1"/>
  <c r="M333" i="8"/>
  <c r="L333" i="8"/>
  <c r="H333" i="8"/>
  <c r="N333" i="8" s="1"/>
  <c r="M332" i="8"/>
  <c r="L332" i="8"/>
  <c r="H332" i="8"/>
  <c r="N332" i="8" s="1"/>
  <c r="K331" i="8"/>
  <c r="I331" i="8"/>
  <c r="G331" i="8"/>
  <c r="G330" i="8" s="1"/>
  <c r="F331" i="8"/>
  <c r="F330" i="8" s="1"/>
  <c r="K330" i="8"/>
  <c r="K329" i="8" s="1"/>
  <c r="I330" i="8"/>
  <c r="I329" i="8" s="1"/>
  <c r="I328" i="8" s="1"/>
  <c r="J329" i="8"/>
  <c r="M327" i="8"/>
  <c r="H327" i="8"/>
  <c r="M326" i="8"/>
  <c r="L326" i="8"/>
  <c r="H326" i="8"/>
  <c r="H324" i="8" s="1"/>
  <c r="G325" i="8"/>
  <c r="F325" i="8"/>
  <c r="J323" i="8"/>
  <c r="M322" i="8"/>
  <c r="L322" i="8"/>
  <c r="H322" i="8"/>
  <c r="N322" i="8" s="1"/>
  <c r="G321" i="8"/>
  <c r="M320" i="8"/>
  <c r="L320" i="8"/>
  <c r="G320" i="8"/>
  <c r="H320" i="8" s="1"/>
  <c r="N320" i="8" s="1"/>
  <c r="M319" i="8"/>
  <c r="L319" i="8"/>
  <c r="K319" i="8"/>
  <c r="H319" i="8"/>
  <c r="H318" i="8" s="1"/>
  <c r="M318" i="8"/>
  <c r="L318" i="8"/>
  <c r="K318" i="8"/>
  <c r="I318" i="8"/>
  <c r="G318" i="8"/>
  <c r="F318" i="8"/>
  <c r="M317" i="8"/>
  <c r="L317" i="8"/>
  <c r="H317" i="8"/>
  <c r="N317" i="8" s="1"/>
  <c r="M316" i="8"/>
  <c r="L316" i="8"/>
  <c r="K315" i="8"/>
  <c r="I315" i="8"/>
  <c r="I314" i="8" s="1"/>
  <c r="G315" i="8"/>
  <c r="G314" i="8" s="1"/>
  <c r="G313" i="8" s="1"/>
  <c r="F315" i="8"/>
  <c r="K314" i="8"/>
  <c r="J314" i="8"/>
  <c r="F314" i="8"/>
  <c r="K313" i="8"/>
  <c r="K312" i="8" s="1"/>
  <c r="J313" i="8"/>
  <c r="I313" i="8"/>
  <c r="I312" i="8" s="1"/>
  <c r="F313" i="8"/>
  <c r="J312" i="8"/>
  <c r="N311" i="8"/>
  <c r="M311" i="8"/>
  <c r="L311" i="8"/>
  <c r="M310" i="8"/>
  <c r="L310" i="8"/>
  <c r="K310" i="8"/>
  <c r="N310" i="8" s="1"/>
  <c r="J310" i="8"/>
  <c r="I310" i="8"/>
  <c r="N308" i="8"/>
  <c r="M308" i="8"/>
  <c r="L308" i="8"/>
  <c r="H308" i="8"/>
  <c r="L307" i="8"/>
  <c r="L306" i="8" s="1"/>
  <c r="K307" i="8"/>
  <c r="K306" i="8" s="1"/>
  <c r="I307" i="8"/>
  <c r="H307" i="8"/>
  <c r="N307" i="8" s="1"/>
  <c r="G307" i="8"/>
  <c r="G306" i="8" s="1"/>
  <c r="F307" i="8"/>
  <c r="F306" i="8" s="1"/>
  <c r="F305" i="8" s="1"/>
  <c r="N306" i="8"/>
  <c r="I306" i="8"/>
  <c r="I305" i="8" s="1"/>
  <c r="H306" i="8"/>
  <c r="H305" i="8" s="1"/>
  <c r="L305" i="8"/>
  <c r="K305" i="8"/>
  <c r="J305" i="8"/>
  <c r="G305" i="8"/>
  <c r="N302" i="8"/>
  <c r="N301" i="8" s="1"/>
  <c r="N300" i="8" s="1"/>
  <c r="M302" i="8"/>
  <c r="L302" i="8"/>
  <c r="K302" i="8"/>
  <c r="K301" i="8" s="1"/>
  <c r="I302" i="8"/>
  <c r="I301" i="8" s="1"/>
  <c r="I300" i="8" s="1"/>
  <c r="H302" i="8"/>
  <c r="G302" i="8"/>
  <c r="F302" i="8"/>
  <c r="F301" i="8" s="1"/>
  <c r="F300" i="8" s="1"/>
  <c r="M301" i="8"/>
  <c r="M300" i="8" s="1"/>
  <c r="L301" i="8"/>
  <c r="H301" i="8"/>
  <c r="H300" i="8" s="1"/>
  <c r="G301" i="8"/>
  <c r="K300" i="8"/>
  <c r="J300" i="8"/>
  <c r="J290" i="8" s="1"/>
  <c r="G300" i="8"/>
  <c r="N299" i="8"/>
  <c r="M299" i="8"/>
  <c r="L299" i="8"/>
  <c r="K299" i="8"/>
  <c r="M298" i="8"/>
  <c r="L298" i="8"/>
  <c r="K298" i="8"/>
  <c r="N298" i="8" s="1"/>
  <c r="J298" i="8"/>
  <c r="N295" i="8"/>
  <c r="M295" i="8"/>
  <c r="L295" i="8"/>
  <c r="K295" i="8"/>
  <c r="I295" i="8"/>
  <c r="H295" i="8"/>
  <c r="G295" i="8"/>
  <c r="F295" i="8"/>
  <c r="M294" i="8"/>
  <c r="H294" i="8"/>
  <c r="M293" i="8"/>
  <c r="L293" i="8"/>
  <c r="K293" i="8"/>
  <c r="I293" i="8"/>
  <c r="H293" i="8"/>
  <c r="H292" i="8" s="1"/>
  <c r="H291" i="8" s="1"/>
  <c r="H290" i="8" s="1"/>
  <c r="G293" i="8"/>
  <c r="F293" i="8"/>
  <c r="K292" i="8"/>
  <c r="J292" i="8"/>
  <c r="G292" i="8"/>
  <c r="K291" i="8"/>
  <c r="K290" i="8" s="1"/>
  <c r="J291" i="8"/>
  <c r="G291" i="8"/>
  <c r="M289" i="8"/>
  <c r="H289" i="8"/>
  <c r="N289" i="8" s="1"/>
  <c r="N288" i="8"/>
  <c r="M288" i="8"/>
  <c r="H288" i="8"/>
  <c r="M287" i="8"/>
  <c r="H287" i="8"/>
  <c r="N286" i="8"/>
  <c r="M286" i="8"/>
  <c r="H286" i="8"/>
  <c r="N284" i="8"/>
  <c r="N283" i="8" s="1"/>
  <c r="M284" i="8"/>
  <c r="L284" i="8"/>
  <c r="K284" i="8"/>
  <c r="I284" i="8"/>
  <c r="I283" i="8" s="1"/>
  <c r="H284" i="8"/>
  <c r="H283" i="8" s="1"/>
  <c r="G284" i="8"/>
  <c r="F284" i="8"/>
  <c r="L283" i="8"/>
  <c r="K283" i="8"/>
  <c r="G283" i="8"/>
  <c r="F283" i="8"/>
  <c r="N281" i="8"/>
  <c r="M281" i="8"/>
  <c r="L281" i="8"/>
  <c r="L280" i="8" s="1"/>
  <c r="K281" i="8"/>
  <c r="K280" i="8" s="1"/>
  <c r="I281" i="8"/>
  <c r="H281" i="8"/>
  <c r="G281" i="8"/>
  <c r="G280" i="8" s="1"/>
  <c r="G279" i="8" s="1"/>
  <c r="F281" i="8"/>
  <c r="F280" i="8" s="1"/>
  <c r="F279" i="8" s="1"/>
  <c r="N280" i="8"/>
  <c r="M280" i="8"/>
  <c r="I280" i="8"/>
  <c r="I279" i="8" s="1"/>
  <c r="H280" i="8"/>
  <c r="J279" i="8"/>
  <c r="H279" i="8"/>
  <c r="N277" i="8"/>
  <c r="N276" i="8" s="1"/>
  <c r="N275" i="8" s="1"/>
  <c r="M277" i="8"/>
  <c r="M276" i="8" s="1"/>
  <c r="L277" i="8"/>
  <c r="K277" i="8"/>
  <c r="I277" i="8"/>
  <c r="I276" i="8" s="1"/>
  <c r="I275" i="8" s="1"/>
  <c r="H277" i="8"/>
  <c r="H276" i="8" s="1"/>
  <c r="G277" i="8"/>
  <c r="F277" i="8"/>
  <c r="L276" i="8"/>
  <c r="K276" i="8"/>
  <c r="K275" i="8" s="1"/>
  <c r="G276" i="8"/>
  <c r="G275" i="8" s="1"/>
  <c r="F276" i="8"/>
  <c r="F275" i="8" s="1"/>
  <c r="M275" i="8"/>
  <c r="L275" i="8"/>
  <c r="J275" i="8"/>
  <c r="J242" i="8" s="1"/>
  <c r="H275" i="8"/>
  <c r="N273" i="8"/>
  <c r="M273" i="8"/>
  <c r="L273" i="8"/>
  <c r="K273" i="8"/>
  <c r="I273" i="8"/>
  <c r="H273" i="8"/>
  <c r="G273" i="8"/>
  <c r="F273" i="8"/>
  <c r="M272" i="8"/>
  <c r="L272" i="8"/>
  <c r="L271" i="8" s="1"/>
  <c r="H272" i="8"/>
  <c r="M271" i="8"/>
  <c r="K271" i="8"/>
  <c r="K270" i="8" s="1"/>
  <c r="K269" i="8" s="1"/>
  <c r="I271" i="8"/>
  <c r="I270" i="8" s="1"/>
  <c r="G271" i="8"/>
  <c r="F271" i="8"/>
  <c r="L270" i="8"/>
  <c r="G270" i="8"/>
  <c r="G269" i="8" s="1"/>
  <c r="F270" i="8"/>
  <c r="F269" i="8" s="1"/>
  <c r="I269" i="8"/>
  <c r="N268" i="8"/>
  <c r="M268" i="8"/>
  <c r="L268" i="8"/>
  <c r="N267" i="8"/>
  <c r="M267" i="8"/>
  <c r="M266" i="8" s="1"/>
  <c r="K267" i="8"/>
  <c r="I267" i="8"/>
  <c r="H267" i="8"/>
  <c r="H266" i="8" s="1"/>
  <c r="G267" i="8"/>
  <c r="G266" i="8" s="1"/>
  <c r="F267" i="8"/>
  <c r="N266" i="8"/>
  <c r="N265" i="8" s="1"/>
  <c r="K266" i="8"/>
  <c r="K265" i="8" s="1"/>
  <c r="I266" i="8"/>
  <c r="I265" i="8" s="1"/>
  <c r="F266" i="8"/>
  <c r="F265" i="8" s="1"/>
  <c r="M265" i="8"/>
  <c r="H265" i="8"/>
  <c r="G265" i="8"/>
  <c r="M264" i="8"/>
  <c r="H264" i="8"/>
  <c r="N264" i="8" s="1"/>
  <c r="M263" i="8"/>
  <c r="H263" i="8"/>
  <c r="N263" i="8" s="1"/>
  <c r="M262" i="8"/>
  <c r="H262" i="8"/>
  <c r="N262" i="8" s="1"/>
  <c r="N261" i="8"/>
  <c r="M261" i="8"/>
  <c r="H261" i="8"/>
  <c r="N260" i="8"/>
  <c r="N259" i="8" s="1"/>
  <c r="N258" i="8" s="1"/>
  <c r="L260" i="8"/>
  <c r="H260" i="8"/>
  <c r="F260" i="8"/>
  <c r="F259" i="8" s="1"/>
  <c r="M259" i="8"/>
  <c r="M258" i="8" s="1"/>
  <c r="L259" i="8"/>
  <c r="K259" i="8"/>
  <c r="I259" i="8"/>
  <c r="H259" i="8"/>
  <c r="H258" i="8" s="1"/>
  <c r="G259" i="8"/>
  <c r="G258" i="8" s="1"/>
  <c r="L258" i="8"/>
  <c r="K258" i="8"/>
  <c r="I258" i="8"/>
  <c r="F258" i="8"/>
  <c r="N257" i="8"/>
  <c r="L257" i="8"/>
  <c r="H257" i="8"/>
  <c r="H256" i="8" s="1"/>
  <c r="F257" i="8"/>
  <c r="M256" i="8"/>
  <c r="L256" i="8"/>
  <c r="K256" i="8"/>
  <c r="K255" i="8" s="1"/>
  <c r="I256" i="8"/>
  <c r="I255" i="8" s="1"/>
  <c r="G256" i="8"/>
  <c r="G255" i="8" s="1"/>
  <c r="G243" i="8" s="1"/>
  <c r="F256" i="8"/>
  <c r="F255" i="8" s="1"/>
  <c r="F243" i="8" s="1"/>
  <c r="M255" i="8"/>
  <c r="L255" i="8"/>
  <c r="H255" i="8"/>
  <c r="N253" i="8"/>
  <c r="M253" i="8"/>
  <c r="L253" i="8"/>
  <c r="K253" i="8"/>
  <c r="I253" i="8"/>
  <c r="H253" i="8"/>
  <c r="G253" i="8"/>
  <c r="F253" i="8"/>
  <c r="N252" i="8"/>
  <c r="M252" i="8"/>
  <c r="L252" i="8"/>
  <c r="N251" i="8"/>
  <c r="M251" i="8"/>
  <c r="L251" i="8"/>
  <c r="N250" i="8"/>
  <c r="M250" i="8"/>
  <c r="M249" i="8" s="1"/>
  <c r="L250" i="8"/>
  <c r="H250" i="8"/>
  <c r="N249" i="8"/>
  <c r="K249" i="8"/>
  <c r="I249" i="8"/>
  <c r="H249" i="8"/>
  <c r="G249" i="8"/>
  <c r="F249" i="8"/>
  <c r="N247" i="8"/>
  <c r="M247" i="8"/>
  <c r="L247" i="8"/>
  <c r="M246" i="8"/>
  <c r="L246" i="8"/>
  <c r="L245" i="8" s="1"/>
  <c r="H246" i="8"/>
  <c r="N246" i="8" s="1"/>
  <c r="N245" i="8"/>
  <c r="N244" i="8" s="1"/>
  <c r="M245" i="8"/>
  <c r="K245" i="8"/>
  <c r="I245" i="8"/>
  <c r="H245" i="8"/>
  <c r="H244" i="8" s="1"/>
  <c r="H243" i="8" s="1"/>
  <c r="G245" i="8"/>
  <c r="F245" i="8"/>
  <c r="K244" i="8"/>
  <c r="G244" i="8"/>
  <c r="F244" i="8"/>
  <c r="J243" i="8"/>
  <c r="M241" i="8"/>
  <c r="L241" i="8"/>
  <c r="L240" i="8" s="1"/>
  <c r="H241" i="8"/>
  <c r="M240" i="8"/>
  <c r="K240" i="8"/>
  <c r="K239" i="8" s="1"/>
  <c r="K238" i="8" s="1"/>
  <c r="I240" i="8"/>
  <c r="I239" i="8" s="1"/>
  <c r="I238" i="8" s="1"/>
  <c r="G240" i="8"/>
  <c r="F240" i="8"/>
  <c r="M239" i="8"/>
  <c r="L239" i="8"/>
  <c r="G239" i="8"/>
  <c r="F239" i="8"/>
  <c r="F238" i="8" s="1"/>
  <c r="F233" i="8" s="1"/>
  <c r="M238" i="8"/>
  <c r="J238" i="8"/>
  <c r="G238" i="8"/>
  <c r="N236" i="8"/>
  <c r="N235" i="8" s="1"/>
  <c r="N234" i="8" s="1"/>
  <c r="M236" i="8"/>
  <c r="L236" i="8"/>
  <c r="K236" i="8"/>
  <c r="K235" i="8" s="1"/>
  <c r="I236" i="8"/>
  <c r="I235" i="8" s="1"/>
  <c r="I234" i="8" s="1"/>
  <c r="I233" i="8" s="1"/>
  <c r="H236" i="8"/>
  <c r="G236" i="8"/>
  <c r="F236" i="8"/>
  <c r="F235" i="8" s="1"/>
  <c r="M235" i="8"/>
  <c r="M234" i="8" s="1"/>
  <c r="L235" i="8"/>
  <c r="H235" i="8"/>
  <c r="G235" i="8"/>
  <c r="K234" i="8"/>
  <c r="J234" i="8"/>
  <c r="H234" i="8"/>
  <c r="G234" i="8"/>
  <c r="F234" i="8"/>
  <c r="M233" i="8"/>
  <c r="G233" i="8"/>
  <c r="M232" i="8"/>
  <c r="L232" i="8"/>
  <c r="H232" i="8"/>
  <c r="M231" i="8"/>
  <c r="G231" i="8"/>
  <c r="H231" i="8" s="1"/>
  <c r="M230" i="8"/>
  <c r="M229" i="8" s="1"/>
  <c r="L230" i="8"/>
  <c r="K230" i="8"/>
  <c r="H230" i="8"/>
  <c r="N230" i="8" s="1"/>
  <c r="N229" i="8" s="1"/>
  <c r="L229" i="8"/>
  <c r="K229" i="8"/>
  <c r="K228" i="8" s="1"/>
  <c r="K227" i="8" s="1"/>
  <c r="I229" i="8"/>
  <c r="H229" i="8"/>
  <c r="G229" i="8"/>
  <c r="G228" i="8" s="1"/>
  <c r="F229" i="8"/>
  <c r="F228" i="8" s="1"/>
  <c r="F227" i="8" s="1"/>
  <c r="M228" i="8"/>
  <c r="M227" i="8" s="1"/>
  <c r="I228" i="8"/>
  <c r="I227" i="8" s="1"/>
  <c r="H228" i="8"/>
  <c r="H227" i="8" s="1"/>
  <c r="J227" i="8"/>
  <c r="G227" i="8"/>
  <c r="N226" i="8"/>
  <c r="N225" i="8" s="1"/>
  <c r="M226" i="8"/>
  <c r="L226" i="8"/>
  <c r="M225" i="8"/>
  <c r="L225" i="8"/>
  <c r="K225" i="8"/>
  <c r="K224" i="8" s="1"/>
  <c r="K223" i="8" s="1"/>
  <c r="K198" i="8" s="1"/>
  <c r="I225" i="8"/>
  <c r="H225" i="8"/>
  <c r="G225" i="8"/>
  <c r="G224" i="8" s="1"/>
  <c r="F225" i="8"/>
  <c r="F224" i="8" s="1"/>
  <c r="F223" i="8" s="1"/>
  <c r="N224" i="8"/>
  <c r="N223" i="8" s="1"/>
  <c r="M224" i="8"/>
  <c r="M223" i="8" s="1"/>
  <c r="I224" i="8"/>
  <c r="I223" i="8" s="1"/>
  <c r="H224" i="8"/>
  <c r="H223" i="8" s="1"/>
  <c r="J223" i="8"/>
  <c r="G223" i="8"/>
  <c r="N222" i="8"/>
  <c r="M222" i="8"/>
  <c r="H222" i="8"/>
  <c r="N221" i="8"/>
  <c r="G221" i="8"/>
  <c r="M221" i="8" s="1"/>
  <c r="N217" i="8"/>
  <c r="N216" i="8" s="1"/>
  <c r="M217" i="8"/>
  <c r="L217" i="8"/>
  <c r="H217" i="8"/>
  <c r="M216" i="8"/>
  <c r="L216" i="8"/>
  <c r="K216" i="8"/>
  <c r="I216" i="8"/>
  <c r="H216" i="8"/>
  <c r="H215" i="8" s="1"/>
  <c r="G216" i="8"/>
  <c r="G215" i="8" s="1"/>
  <c r="F216" i="8"/>
  <c r="N215" i="8"/>
  <c r="N214" i="8" s="1"/>
  <c r="K215" i="8"/>
  <c r="K214" i="8" s="1"/>
  <c r="I215" i="8"/>
  <c r="F215" i="8"/>
  <c r="F214" i="8" s="1"/>
  <c r="J214" i="8"/>
  <c r="I214" i="8"/>
  <c r="H214" i="8"/>
  <c r="N211" i="8"/>
  <c r="M211" i="8"/>
  <c r="L211" i="8"/>
  <c r="K211" i="8"/>
  <c r="K210" i="8" s="1"/>
  <c r="I211" i="8"/>
  <c r="H211" i="8"/>
  <c r="G211" i="8"/>
  <c r="G210" i="8" s="1"/>
  <c r="G209" i="8" s="1"/>
  <c r="F211" i="8"/>
  <c r="F210" i="8" s="1"/>
  <c r="N210" i="8"/>
  <c r="N209" i="8" s="1"/>
  <c r="M210" i="8"/>
  <c r="M209" i="8" s="1"/>
  <c r="I210" i="8"/>
  <c r="I209" i="8" s="1"/>
  <c r="H210" i="8"/>
  <c r="H209" i="8" s="1"/>
  <c r="K209" i="8"/>
  <c r="F209" i="8"/>
  <c r="M208" i="8"/>
  <c r="L208" i="8"/>
  <c r="K208" i="8"/>
  <c r="H208" i="8"/>
  <c r="N208" i="8" s="1"/>
  <c r="M207" i="8"/>
  <c r="L207" i="8"/>
  <c r="K207" i="8"/>
  <c r="H207" i="8"/>
  <c r="N207" i="8" s="1"/>
  <c r="M206" i="8"/>
  <c r="M205" i="8" s="1"/>
  <c r="N205" i="8" s="1"/>
  <c r="L206" i="8"/>
  <c r="K206" i="8"/>
  <c r="H206" i="8"/>
  <c r="N206" i="8" s="1"/>
  <c r="L205" i="8"/>
  <c r="K205" i="8"/>
  <c r="K204" i="8" s="1"/>
  <c r="K203" i="8" s="1"/>
  <c r="J205" i="8"/>
  <c r="G205" i="8"/>
  <c r="H205" i="8" s="1"/>
  <c r="I204" i="8"/>
  <c r="G204" i="8"/>
  <c r="F204" i="8"/>
  <c r="F203" i="8" s="1"/>
  <c r="J203" i="8"/>
  <c r="I203" i="8"/>
  <c r="M202" i="8"/>
  <c r="K202" i="8"/>
  <c r="H202" i="8"/>
  <c r="J201" i="8"/>
  <c r="H201" i="8"/>
  <c r="H200" i="8"/>
  <c r="H199" i="8"/>
  <c r="N197" i="8"/>
  <c r="M197" i="8"/>
  <c r="L197" i="8"/>
  <c r="H197" i="8"/>
  <c r="M196" i="8"/>
  <c r="L196" i="8"/>
  <c r="G196" i="8"/>
  <c r="H196" i="8" s="1"/>
  <c r="N196" i="8" s="1"/>
  <c r="L195" i="8"/>
  <c r="F195" i="8"/>
  <c r="M194" i="8"/>
  <c r="L194" i="8"/>
  <c r="H194" i="8"/>
  <c r="N194" i="8" s="1"/>
  <c r="G193" i="8"/>
  <c r="M193" i="8" s="1"/>
  <c r="F193" i="8"/>
  <c r="F192" i="8"/>
  <c r="L192" i="8" s="1"/>
  <c r="N191" i="8"/>
  <c r="M191" i="8"/>
  <c r="L191" i="8"/>
  <c r="H191" i="8"/>
  <c r="M190" i="8"/>
  <c r="L190" i="8"/>
  <c r="H190" i="8"/>
  <c r="N190" i="8" s="1"/>
  <c r="G190" i="8"/>
  <c r="N189" i="8"/>
  <c r="M189" i="8"/>
  <c r="L189" i="8"/>
  <c r="H189" i="8"/>
  <c r="N188" i="8"/>
  <c r="M188" i="8"/>
  <c r="L188" i="8"/>
  <c r="H188" i="8"/>
  <c r="N187" i="8"/>
  <c r="M187" i="8"/>
  <c r="L187" i="8"/>
  <c r="H187" i="8"/>
  <c r="N186" i="8"/>
  <c r="M186" i="8"/>
  <c r="M185" i="8" s="1"/>
  <c r="K186" i="8"/>
  <c r="I186" i="8"/>
  <c r="H186" i="8"/>
  <c r="G186" i="8"/>
  <c r="F186" i="8"/>
  <c r="K185" i="8"/>
  <c r="K181" i="8" s="1"/>
  <c r="I185" i="8"/>
  <c r="G185" i="8"/>
  <c r="F185" i="8"/>
  <c r="N184" i="8"/>
  <c r="N183" i="8" s="1"/>
  <c r="N182" i="8" s="1"/>
  <c r="M184" i="8"/>
  <c r="M183" i="8" s="1"/>
  <c r="L184" i="8"/>
  <c r="H184" i="8"/>
  <c r="L183" i="8"/>
  <c r="K183" i="8"/>
  <c r="K182" i="8" s="1"/>
  <c r="I183" i="8"/>
  <c r="H183" i="8"/>
  <c r="G183" i="8"/>
  <c r="F183" i="8"/>
  <c r="F182" i="8" s="1"/>
  <c r="M182" i="8"/>
  <c r="L182" i="8"/>
  <c r="I182" i="8"/>
  <c r="H182" i="8"/>
  <c r="G182" i="8"/>
  <c r="J181" i="8"/>
  <c r="F181" i="8"/>
  <c r="M180" i="8"/>
  <c r="L180" i="8"/>
  <c r="G180" i="8"/>
  <c r="H180" i="8" s="1"/>
  <c r="L179" i="8"/>
  <c r="K179" i="8"/>
  <c r="I179" i="8"/>
  <c r="I176" i="8" s="1"/>
  <c r="I175" i="8" s="1"/>
  <c r="G179" i="8"/>
  <c r="G176" i="8" s="1"/>
  <c r="G175" i="8" s="1"/>
  <c r="F179" i="8"/>
  <c r="N177" i="8"/>
  <c r="M177" i="8"/>
  <c r="L177" i="8"/>
  <c r="K177" i="8"/>
  <c r="I177" i="8"/>
  <c r="H177" i="8"/>
  <c r="G177" i="8"/>
  <c r="F177" i="8"/>
  <c r="L176" i="8"/>
  <c r="K176" i="8"/>
  <c r="K175" i="8" s="1"/>
  <c r="F176" i="8"/>
  <c r="L175" i="8"/>
  <c r="J175" i="8"/>
  <c r="F175" i="8"/>
  <c r="M170" i="8"/>
  <c r="L170" i="8"/>
  <c r="K170" i="8"/>
  <c r="H170" i="8"/>
  <c r="N170" i="8" s="1"/>
  <c r="K169" i="8"/>
  <c r="J169" i="8"/>
  <c r="I169" i="8"/>
  <c r="G169" i="8"/>
  <c r="M169" i="8" s="1"/>
  <c r="F169" i="8"/>
  <c r="N168" i="8"/>
  <c r="M168" i="8"/>
  <c r="K168" i="8"/>
  <c r="H168" i="8"/>
  <c r="M167" i="8"/>
  <c r="H167" i="8"/>
  <c r="N167" i="8" s="1"/>
  <c r="N166" i="8"/>
  <c r="M166" i="8"/>
  <c r="K166" i="8"/>
  <c r="N165" i="8"/>
  <c r="K165" i="8"/>
  <c r="J165" i="8"/>
  <c r="M165" i="8" s="1"/>
  <c r="N164" i="8"/>
  <c r="M164" i="8"/>
  <c r="N163" i="8"/>
  <c r="M163" i="8"/>
  <c r="M162" i="8"/>
  <c r="K162" i="8"/>
  <c r="N162" i="8" s="1"/>
  <c r="N161" i="8"/>
  <c r="M161" i="8"/>
  <c r="N160" i="8"/>
  <c r="N159" i="8" s="1"/>
  <c r="M160" i="8"/>
  <c r="L160" i="8"/>
  <c r="G160" i="8"/>
  <c r="H160" i="8" s="1"/>
  <c r="M159" i="8"/>
  <c r="L159" i="8"/>
  <c r="K159" i="8"/>
  <c r="I159" i="8"/>
  <c r="H159" i="8"/>
  <c r="G159" i="8"/>
  <c r="F159" i="8"/>
  <c r="N158" i="8"/>
  <c r="N157" i="8" s="1"/>
  <c r="M158" i="8"/>
  <c r="L158" i="8"/>
  <c r="H158" i="8"/>
  <c r="H157" i="8" s="1"/>
  <c r="M157" i="8"/>
  <c r="L157" i="8"/>
  <c r="K157" i="8"/>
  <c r="I157" i="8"/>
  <c r="G157" i="8"/>
  <c r="F157" i="8"/>
  <c r="L154" i="8"/>
  <c r="G154" i="8"/>
  <c r="M154" i="8" s="1"/>
  <c r="L153" i="8"/>
  <c r="N152" i="8"/>
  <c r="M152" i="8"/>
  <c r="M151" i="8" s="1"/>
  <c r="L152" i="8"/>
  <c r="H152" i="8"/>
  <c r="N151" i="8"/>
  <c r="K151" i="8"/>
  <c r="I151" i="8"/>
  <c r="H151" i="8"/>
  <c r="G151" i="8"/>
  <c r="F151" i="8"/>
  <c r="M150" i="8"/>
  <c r="L150" i="8"/>
  <c r="H150" i="8"/>
  <c r="K149" i="8"/>
  <c r="I149" i="8"/>
  <c r="H149" i="8"/>
  <c r="G149" i="8"/>
  <c r="F149" i="8"/>
  <c r="M148" i="8"/>
  <c r="M147" i="8" s="1"/>
  <c r="L148" i="8"/>
  <c r="K148" i="8"/>
  <c r="H148" i="8"/>
  <c r="N148" i="8" s="1"/>
  <c r="N147" i="8" s="1"/>
  <c r="L147" i="8"/>
  <c r="K147" i="8"/>
  <c r="J147" i="8"/>
  <c r="I147" i="8"/>
  <c r="H147" i="8"/>
  <c r="G147" i="8"/>
  <c r="F147" i="8"/>
  <c r="N146" i="8"/>
  <c r="N145" i="8" s="1"/>
  <c r="M146" i="8"/>
  <c r="L146" i="8"/>
  <c r="H146" i="8"/>
  <c r="M145" i="8"/>
  <c r="L145" i="8"/>
  <c r="K145" i="8"/>
  <c r="I145" i="8"/>
  <c r="H145" i="8"/>
  <c r="G145" i="8"/>
  <c r="F145" i="8"/>
  <c r="F144" i="8"/>
  <c r="F143" i="8" s="1"/>
  <c r="N142" i="8"/>
  <c r="N141" i="8" s="1"/>
  <c r="M142" i="8"/>
  <c r="M141" i="8" s="1"/>
  <c r="L142" i="8"/>
  <c r="L141" i="8" s="1"/>
  <c r="K142" i="8"/>
  <c r="I142" i="8"/>
  <c r="I141" i="8" s="1"/>
  <c r="K141" i="8"/>
  <c r="H141" i="8"/>
  <c r="G141" i="8"/>
  <c r="F141" i="8"/>
  <c r="M140" i="8"/>
  <c r="M139" i="8" s="1"/>
  <c r="K140" i="8"/>
  <c r="I140" i="8"/>
  <c r="L140" i="8" s="1"/>
  <c r="H140" i="8"/>
  <c r="N140" i="8" s="1"/>
  <c r="N139" i="8" s="1"/>
  <c r="K139" i="8"/>
  <c r="I139" i="8"/>
  <c r="H139" i="8"/>
  <c r="G139" i="8"/>
  <c r="F139" i="8"/>
  <c r="M138" i="8"/>
  <c r="L138" i="8"/>
  <c r="L137" i="8" s="1"/>
  <c r="K138" i="8"/>
  <c r="M137" i="8"/>
  <c r="J137" i="8"/>
  <c r="J133" i="8" s="1"/>
  <c r="J132" i="8" s="1"/>
  <c r="I137" i="8"/>
  <c r="H137" i="8"/>
  <c r="G137" i="8"/>
  <c r="F137" i="8"/>
  <c r="N136" i="8"/>
  <c r="M136" i="8"/>
  <c r="L136" i="8"/>
  <c r="H136" i="8"/>
  <c r="M135" i="8"/>
  <c r="L135" i="8"/>
  <c r="K135" i="8"/>
  <c r="K134" i="8" s="1"/>
  <c r="H135" i="8"/>
  <c r="H134" i="8" s="1"/>
  <c r="M134" i="8"/>
  <c r="J134" i="8"/>
  <c r="I134" i="8"/>
  <c r="G134" i="8"/>
  <c r="F134" i="8"/>
  <c r="F133" i="8" s="1"/>
  <c r="F132" i="8" s="1"/>
  <c r="M133" i="8"/>
  <c r="M132" i="8" s="1"/>
  <c r="I133" i="8"/>
  <c r="I132" i="8" s="1"/>
  <c r="H133" i="8"/>
  <c r="H132" i="8" s="1"/>
  <c r="N131" i="8"/>
  <c r="N130" i="8" s="1"/>
  <c r="N129" i="8" s="1"/>
  <c r="N128" i="8" s="1"/>
  <c r="L131" i="8"/>
  <c r="M130" i="8"/>
  <c r="L130" i="8"/>
  <c r="L129" i="8" s="1"/>
  <c r="K130" i="8"/>
  <c r="K129" i="8" s="1"/>
  <c r="I130" i="8"/>
  <c r="I129" i="8" s="1"/>
  <c r="I128" i="8" s="1"/>
  <c r="H130" i="8"/>
  <c r="G130" i="8"/>
  <c r="F130" i="8"/>
  <c r="F129" i="8" s="1"/>
  <c r="F128" i="8" s="1"/>
  <c r="M129" i="8"/>
  <c r="M128" i="8" s="1"/>
  <c r="H129" i="8"/>
  <c r="H128" i="8" s="1"/>
  <c r="G129" i="8"/>
  <c r="G128" i="8" s="1"/>
  <c r="K128" i="8"/>
  <c r="M126" i="8"/>
  <c r="L126" i="8"/>
  <c r="H126" i="8"/>
  <c r="N126" i="8" s="1"/>
  <c r="N125" i="8"/>
  <c r="M125" i="8"/>
  <c r="L125" i="8"/>
  <c r="H125" i="8"/>
  <c r="H124" i="8"/>
  <c r="N124" i="8" s="1"/>
  <c r="G124" i="8"/>
  <c r="M124" i="8" s="1"/>
  <c r="N123" i="8"/>
  <c r="M123" i="8"/>
  <c r="L123" i="8"/>
  <c r="G123" i="8"/>
  <c r="H123" i="8" s="1"/>
  <c r="M122" i="8"/>
  <c r="M121" i="8" s="1"/>
  <c r="M120" i="8" s="1"/>
  <c r="L122" i="8"/>
  <c r="H122" i="8"/>
  <c r="K121" i="8"/>
  <c r="K120" i="8" s="1"/>
  <c r="I121" i="8"/>
  <c r="I120" i="8" s="1"/>
  <c r="I112" i="8" s="1"/>
  <c r="H121" i="8"/>
  <c r="H120" i="8" s="1"/>
  <c r="G121" i="8"/>
  <c r="G120" i="8" s="1"/>
  <c r="F121" i="8"/>
  <c r="F120" i="8" s="1"/>
  <c r="N119" i="8"/>
  <c r="M119" i="8"/>
  <c r="L119" i="8"/>
  <c r="H119" i="8"/>
  <c r="N118" i="8"/>
  <c r="M118" i="8"/>
  <c r="L118" i="8"/>
  <c r="H118" i="8"/>
  <c r="M117" i="8"/>
  <c r="H117" i="8"/>
  <c r="N117" i="8" s="1"/>
  <c r="F117" i="8"/>
  <c r="L117" i="8" s="1"/>
  <c r="N116" i="8"/>
  <c r="M116" i="8"/>
  <c r="M114" i="8" s="1"/>
  <c r="M113" i="8" s="1"/>
  <c r="L116" i="8"/>
  <c r="H116" i="8"/>
  <c r="M115" i="8"/>
  <c r="L115" i="8"/>
  <c r="L114" i="8" s="1"/>
  <c r="H115" i="8"/>
  <c r="N115" i="8" s="1"/>
  <c r="N114" i="8"/>
  <c r="N113" i="8" s="1"/>
  <c r="K114" i="8"/>
  <c r="I114" i="8"/>
  <c r="I113" i="8" s="1"/>
  <c r="H114" i="8"/>
  <c r="H113" i="8" s="1"/>
  <c r="G114" i="8"/>
  <c r="F114" i="8"/>
  <c r="L113" i="8"/>
  <c r="K113" i="8"/>
  <c r="K112" i="8" s="1"/>
  <c r="G113" i="8"/>
  <c r="F113" i="8"/>
  <c r="J112" i="8"/>
  <c r="F112" i="8"/>
  <c r="N111" i="8"/>
  <c r="M111" i="8"/>
  <c r="M110" i="8" s="1"/>
  <c r="M109" i="8" s="1"/>
  <c r="L111" i="8"/>
  <c r="N110" i="8"/>
  <c r="N109" i="8" s="1"/>
  <c r="K110" i="8"/>
  <c r="K109" i="8" s="1"/>
  <c r="I110" i="8"/>
  <c r="I109" i="8" s="1"/>
  <c r="H110" i="8"/>
  <c r="H109" i="8" s="1"/>
  <c r="G110" i="8"/>
  <c r="G109" i="8" s="1"/>
  <c r="F110" i="8"/>
  <c r="F109" i="8" s="1"/>
  <c r="N107" i="8"/>
  <c r="M107" i="8"/>
  <c r="L107" i="8"/>
  <c r="L101" i="8" s="1"/>
  <c r="K107" i="8"/>
  <c r="I107" i="8"/>
  <c r="H107" i="8"/>
  <c r="G107" i="8"/>
  <c r="F107" i="8"/>
  <c r="N106" i="8"/>
  <c r="N105" i="8" s="1"/>
  <c r="M106" i="8"/>
  <c r="L106" i="8"/>
  <c r="K106" i="8"/>
  <c r="L105" i="8"/>
  <c r="K105" i="8"/>
  <c r="J105" i="8"/>
  <c r="I105" i="8"/>
  <c r="H105" i="8"/>
  <c r="G105" i="8"/>
  <c r="F105" i="8"/>
  <c r="M104" i="8"/>
  <c r="L104" i="8"/>
  <c r="K104" i="8"/>
  <c r="H104" i="8"/>
  <c r="N104" i="8" s="1"/>
  <c r="L103" i="8"/>
  <c r="J103" i="8"/>
  <c r="K103" i="8" s="1"/>
  <c r="K102" i="8" s="1"/>
  <c r="H103" i="8"/>
  <c r="L102" i="8"/>
  <c r="J102" i="8"/>
  <c r="J101" i="8" s="1"/>
  <c r="J100" i="8" s="1"/>
  <c r="I102" i="8"/>
  <c r="G102" i="8"/>
  <c r="F102" i="8"/>
  <c r="I101" i="8"/>
  <c r="N99" i="8"/>
  <c r="N98" i="8" s="1"/>
  <c r="M99" i="8"/>
  <c r="L99" i="8"/>
  <c r="K99" i="8"/>
  <c r="K98" i="8" s="1"/>
  <c r="K91" i="8" s="1"/>
  <c r="K90" i="8" s="1"/>
  <c r="H99" i="8"/>
  <c r="H98" i="8" s="1"/>
  <c r="M98" i="8"/>
  <c r="L98" i="8"/>
  <c r="J98" i="8"/>
  <c r="J91" i="8" s="1"/>
  <c r="J90" i="8" s="1"/>
  <c r="J89" i="8" s="1"/>
  <c r="I98" i="8"/>
  <c r="G98" i="8"/>
  <c r="F98" i="8"/>
  <c r="F91" i="8" s="1"/>
  <c r="F90" i="8" s="1"/>
  <c r="N97" i="8"/>
  <c r="M97" i="8"/>
  <c r="L97" i="8"/>
  <c r="N96" i="8"/>
  <c r="M96" i="8"/>
  <c r="H96" i="8"/>
  <c r="F96" i="8"/>
  <c r="L96" i="8" s="1"/>
  <c r="M95" i="8"/>
  <c r="L95" i="8"/>
  <c r="H95" i="8"/>
  <c r="N95" i="8" s="1"/>
  <c r="M94" i="8"/>
  <c r="K94" i="8"/>
  <c r="I94" i="8"/>
  <c r="F94" i="8"/>
  <c r="L94" i="8" s="1"/>
  <c r="M93" i="8"/>
  <c r="L93" i="8"/>
  <c r="H93" i="8"/>
  <c r="N93" i="8" s="1"/>
  <c r="N92" i="8"/>
  <c r="M92" i="8"/>
  <c r="M91" i="8" s="1"/>
  <c r="M90" i="8" s="1"/>
  <c r="L92" i="8"/>
  <c r="H92" i="8"/>
  <c r="I91" i="8"/>
  <c r="I90" i="8" s="1"/>
  <c r="G91" i="8"/>
  <c r="G90" i="8"/>
  <c r="N87" i="8"/>
  <c r="M87" i="8"/>
  <c r="L87" i="8"/>
  <c r="L86" i="8" s="1"/>
  <c r="K87" i="8"/>
  <c r="K86" i="8" s="1"/>
  <c r="K85" i="8" s="1"/>
  <c r="I87" i="8"/>
  <c r="I86" i="8" s="1"/>
  <c r="I85" i="8" s="1"/>
  <c r="H87" i="8"/>
  <c r="G87" i="8"/>
  <c r="G86" i="8" s="1"/>
  <c r="G85" i="8" s="1"/>
  <c r="F87" i="8"/>
  <c r="F86" i="8" s="1"/>
  <c r="F85" i="8" s="1"/>
  <c r="N86" i="8"/>
  <c r="N85" i="8" s="1"/>
  <c r="M86" i="8"/>
  <c r="M85" i="8" s="1"/>
  <c r="H86" i="8"/>
  <c r="H85" i="8" s="1"/>
  <c r="J85" i="8"/>
  <c r="N84" i="8"/>
  <c r="N83" i="8" s="1"/>
  <c r="N82" i="8" s="1"/>
  <c r="M84" i="8"/>
  <c r="M83" i="8" s="1"/>
  <c r="H84" i="8"/>
  <c r="L83" i="8"/>
  <c r="L82" i="8" s="1"/>
  <c r="K83" i="8"/>
  <c r="K82" i="8" s="1"/>
  <c r="I83" i="8"/>
  <c r="I82" i="8" s="1"/>
  <c r="H83" i="8"/>
  <c r="H82" i="8" s="1"/>
  <c r="G83" i="8"/>
  <c r="G82" i="8" s="1"/>
  <c r="F83" i="8"/>
  <c r="F82" i="8" s="1"/>
  <c r="M81" i="8"/>
  <c r="L81" i="8"/>
  <c r="L80" i="8" s="1"/>
  <c r="H81" i="8"/>
  <c r="N81" i="8" s="1"/>
  <c r="N80" i="8" s="1"/>
  <c r="N79" i="8" s="1"/>
  <c r="M80" i="8"/>
  <c r="M79" i="8" s="1"/>
  <c r="K80" i="8"/>
  <c r="I80" i="8"/>
  <c r="I79" i="8" s="1"/>
  <c r="H80" i="8"/>
  <c r="H79" i="8" s="1"/>
  <c r="G80" i="8"/>
  <c r="G79" i="8" s="1"/>
  <c r="F80" i="8"/>
  <c r="F79" i="8" s="1"/>
  <c r="K79" i="8"/>
  <c r="K78" i="8" s="1"/>
  <c r="J78" i="8"/>
  <c r="J77" i="8" s="1"/>
  <c r="M76" i="8"/>
  <c r="L76" i="8"/>
  <c r="H76" i="8"/>
  <c r="N76" i="8" s="1"/>
  <c r="N75" i="8"/>
  <c r="M75" i="8"/>
  <c r="L75" i="8"/>
  <c r="H75" i="8"/>
  <c r="M74" i="8"/>
  <c r="L74" i="8"/>
  <c r="H74" i="8"/>
  <c r="N74" i="8" s="1"/>
  <c r="M73" i="8"/>
  <c r="M72" i="8" s="1"/>
  <c r="M71" i="8" s="1"/>
  <c r="K73" i="8"/>
  <c r="I73" i="8"/>
  <c r="I72" i="8" s="1"/>
  <c r="I71" i="8" s="1"/>
  <c r="H73" i="8"/>
  <c r="H72" i="8" s="1"/>
  <c r="H71" i="8" s="1"/>
  <c r="G73" i="8"/>
  <c r="F73" i="8"/>
  <c r="K72" i="8"/>
  <c r="K71" i="8" s="1"/>
  <c r="G72" i="8"/>
  <c r="G71" i="8" s="1"/>
  <c r="F72" i="8"/>
  <c r="F71" i="8" s="1"/>
  <c r="J71" i="8"/>
  <c r="N69" i="8"/>
  <c r="M69" i="8"/>
  <c r="L69" i="8"/>
  <c r="H69" i="8"/>
  <c r="H67" i="8" s="1"/>
  <c r="H66" i="8" s="1"/>
  <c r="M68" i="8"/>
  <c r="L68" i="8"/>
  <c r="H68" i="8"/>
  <c r="N68" i="8" s="1"/>
  <c r="K67" i="8"/>
  <c r="K66" i="8" s="1"/>
  <c r="I67" i="8"/>
  <c r="I66" i="8" s="1"/>
  <c r="G67" i="8"/>
  <c r="F67" i="8"/>
  <c r="F66" i="8" s="1"/>
  <c r="G66" i="8"/>
  <c r="N65" i="8"/>
  <c r="L65" i="8"/>
  <c r="N64" i="8"/>
  <c r="L64" i="8"/>
  <c r="N63" i="8"/>
  <c r="L63" i="8"/>
  <c r="N62" i="8"/>
  <c r="L62" i="8"/>
  <c r="L61" i="8" s="1"/>
  <c r="N61" i="8"/>
  <c r="M61" i="8"/>
  <c r="K61" i="8"/>
  <c r="I61" i="8"/>
  <c r="H61" i="8"/>
  <c r="G61" i="8"/>
  <c r="F61" i="8"/>
  <c r="M58" i="8"/>
  <c r="N58" i="8" s="1"/>
  <c r="N57" i="8" s="1"/>
  <c r="L58" i="8"/>
  <c r="H58" i="8"/>
  <c r="K57" i="8"/>
  <c r="J57" i="8"/>
  <c r="I57" i="8"/>
  <c r="H57" i="8"/>
  <c r="G57" i="8"/>
  <c r="F57" i="8"/>
  <c r="M56" i="8"/>
  <c r="L56" i="8"/>
  <c r="K56" i="8"/>
  <c r="K55" i="8" s="1"/>
  <c r="H56" i="8"/>
  <c r="N56" i="8" s="1"/>
  <c r="N55" i="8" s="1"/>
  <c r="M55" i="8"/>
  <c r="L55" i="8"/>
  <c r="J55" i="8"/>
  <c r="J48" i="8" s="1"/>
  <c r="J39" i="8" s="1"/>
  <c r="I55" i="8"/>
  <c r="G55" i="8"/>
  <c r="F55" i="8"/>
  <c r="H55" i="8" s="1"/>
  <c r="N53" i="8"/>
  <c r="M53" i="8"/>
  <c r="L53" i="8"/>
  <c r="K53" i="8"/>
  <c r="K50" i="8" s="1"/>
  <c r="H53" i="8"/>
  <c r="F53" i="8"/>
  <c r="F50" i="8" s="1"/>
  <c r="F49" i="8" s="1"/>
  <c r="N52" i="8"/>
  <c r="M52" i="8"/>
  <c r="L52" i="8"/>
  <c r="H52" i="8"/>
  <c r="M51" i="8"/>
  <c r="L51" i="8"/>
  <c r="K51" i="8"/>
  <c r="N51" i="8" s="1"/>
  <c r="N50" i="8" s="1"/>
  <c r="H51" i="8"/>
  <c r="F51" i="8"/>
  <c r="M50" i="8"/>
  <c r="L50" i="8"/>
  <c r="J50" i="8"/>
  <c r="I50" i="8"/>
  <c r="I49" i="8" s="1"/>
  <c r="I48" i="8" s="1"/>
  <c r="H50" i="8"/>
  <c r="H49" i="8" s="1"/>
  <c r="H48" i="8" s="1"/>
  <c r="G50" i="8"/>
  <c r="G49" i="8"/>
  <c r="G48" i="8" s="1"/>
  <c r="N46" i="8"/>
  <c r="M46" i="8"/>
  <c r="L46" i="8"/>
  <c r="K46" i="8"/>
  <c r="I46" i="8"/>
  <c r="H46" i="8"/>
  <c r="G46" i="8"/>
  <c r="F46" i="8"/>
  <c r="N44" i="8"/>
  <c r="M44" i="8"/>
  <c r="L44" i="8"/>
  <c r="K44" i="8"/>
  <c r="I44" i="8"/>
  <c r="H44" i="8"/>
  <c r="G44" i="8"/>
  <c r="F44" i="8"/>
  <c r="N43" i="8"/>
  <c r="N42" i="8" s="1"/>
  <c r="N41" i="8" s="1"/>
  <c r="N40" i="8" s="1"/>
  <c r="M43" i="8"/>
  <c r="M42" i="8" s="1"/>
  <c r="L43" i="8"/>
  <c r="H43" i="8"/>
  <c r="L42" i="8"/>
  <c r="L41" i="8" s="1"/>
  <c r="K42" i="8"/>
  <c r="K41" i="8" s="1"/>
  <c r="K40" i="8" s="1"/>
  <c r="I42" i="8"/>
  <c r="H42" i="8"/>
  <c r="G42" i="8"/>
  <c r="G41" i="8" s="1"/>
  <c r="G40" i="8" s="1"/>
  <c r="F42" i="8"/>
  <c r="F41" i="8" s="1"/>
  <c r="F40" i="8" s="1"/>
  <c r="I41" i="8"/>
  <c r="I40" i="8" s="1"/>
  <c r="I39" i="8" s="1"/>
  <c r="H41" i="8"/>
  <c r="H40" i="8" s="1"/>
  <c r="H39" i="8" s="1"/>
  <c r="N36" i="8"/>
  <c r="M36" i="8"/>
  <c r="M35" i="8" s="1"/>
  <c r="M34" i="8" s="1"/>
  <c r="L36" i="8"/>
  <c r="K36" i="8"/>
  <c r="I36" i="8"/>
  <c r="H36" i="8"/>
  <c r="H35" i="8" s="1"/>
  <c r="H34" i="8" s="1"/>
  <c r="G36" i="8"/>
  <c r="G35" i="8" s="1"/>
  <c r="G34" i="8" s="1"/>
  <c r="F36" i="8"/>
  <c r="N35" i="8"/>
  <c r="N34" i="8" s="1"/>
  <c r="K35" i="8"/>
  <c r="K34" i="8" s="1"/>
  <c r="I35" i="8"/>
  <c r="I34" i="8" s="1"/>
  <c r="F35" i="8"/>
  <c r="F34" i="8" s="1"/>
  <c r="J34" i="8"/>
  <c r="M33" i="8"/>
  <c r="L33" i="8"/>
  <c r="K33" i="8"/>
  <c r="N33" i="8" s="1"/>
  <c r="L32" i="8"/>
  <c r="J32" i="8"/>
  <c r="I32" i="8"/>
  <c r="K32" i="8" s="1"/>
  <c r="N32" i="8" s="1"/>
  <c r="M31" i="8"/>
  <c r="M30" i="8" s="1"/>
  <c r="L31" i="8"/>
  <c r="H31" i="8"/>
  <c r="N31" i="8" s="1"/>
  <c r="N30" i="8" s="1"/>
  <c r="K30" i="8"/>
  <c r="I30" i="8"/>
  <c r="I25" i="8" s="1"/>
  <c r="H30" i="8"/>
  <c r="G30" i="8"/>
  <c r="F30" i="8"/>
  <c r="M28" i="8"/>
  <c r="L28" i="8"/>
  <c r="K28" i="8"/>
  <c r="H28" i="8"/>
  <c r="H26" i="8" s="1"/>
  <c r="H25" i="8" s="1"/>
  <c r="N27" i="8"/>
  <c r="M27" i="8"/>
  <c r="M26" i="8" s="1"/>
  <c r="L27" i="8"/>
  <c r="H27" i="8"/>
  <c r="L26" i="8"/>
  <c r="K26" i="8"/>
  <c r="K25" i="8" s="1"/>
  <c r="J26" i="8"/>
  <c r="I26" i="8"/>
  <c r="G26" i="8"/>
  <c r="G25" i="8" s="1"/>
  <c r="F26" i="8"/>
  <c r="J25" i="8"/>
  <c r="J18" i="8" s="1"/>
  <c r="F25" i="8"/>
  <c r="N24" i="8"/>
  <c r="N23" i="8" s="1"/>
  <c r="M24" i="8"/>
  <c r="M23" i="8" s="1"/>
  <c r="L24" i="8"/>
  <c r="H24" i="8"/>
  <c r="L23" i="8"/>
  <c r="K23" i="8"/>
  <c r="I23" i="8"/>
  <c r="H23" i="8"/>
  <c r="G23" i="8"/>
  <c r="G19" i="8" s="1"/>
  <c r="G18" i="8" s="1"/>
  <c r="F23" i="8"/>
  <c r="F19" i="8" s="1"/>
  <c r="F18" i="8" s="1"/>
  <c r="N22" i="8"/>
  <c r="M22" i="8"/>
  <c r="M20" i="8" s="1"/>
  <c r="L22" i="8"/>
  <c r="K22" i="8"/>
  <c r="M21" i="8"/>
  <c r="K21" i="8"/>
  <c r="N21" i="8" s="1"/>
  <c r="N20" i="8" s="1"/>
  <c r="L20" i="8"/>
  <c r="J20" i="8"/>
  <c r="I20" i="8"/>
  <c r="H20" i="8"/>
  <c r="I19" i="8"/>
  <c r="I18" i="8" s="1"/>
  <c r="H19" i="8"/>
  <c r="H102" i="8" l="1"/>
  <c r="H101" i="8" s="1"/>
  <c r="H100" i="8" s="1"/>
  <c r="N331" i="8"/>
  <c r="N330" i="8" s="1"/>
  <c r="H331" i="8"/>
  <c r="H330" i="8" s="1"/>
  <c r="H395" i="8"/>
  <c r="H394" i="8" s="1"/>
  <c r="H323" i="8"/>
  <c r="N325" i="8"/>
  <c r="N326" i="8"/>
  <c r="N315" i="8"/>
  <c r="H315" i="8"/>
  <c r="H314" i="8" s="1"/>
  <c r="H313" i="8" s="1"/>
  <c r="H312" i="8" s="1"/>
  <c r="H78" i="8"/>
  <c r="N67" i="8"/>
  <c r="N66" i="8" s="1"/>
  <c r="K77" i="8"/>
  <c r="I78" i="8"/>
  <c r="I77" i="8" s="1"/>
  <c r="N73" i="8"/>
  <c r="N72" i="8" s="1"/>
  <c r="N71" i="8" s="1"/>
  <c r="G112" i="8"/>
  <c r="M112" i="8"/>
  <c r="L73" i="8"/>
  <c r="M67" i="8"/>
  <c r="M66" i="8" s="1"/>
  <c r="M82" i="8"/>
  <c r="K48" i="8"/>
  <c r="K39" i="8" s="1"/>
  <c r="L85" i="8"/>
  <c r="I89" i="8"/>
  <c r="M19" i="8"/>
  <c r="M18" i="8" s="1"/>
  <c r="F78" i="8"/>
  <c r="F77" i="8" s="1"/>
  <c r="M25" i="8"/>
  <c r="L79" i="8"/>
  <c r="M41" i="8"/>
  <c r="M40" i="8" s="1"/>
  <c r="H18" i="8"/>
  <c r="G39" i="8"/>
  <c r="L40" i="8"/>
  <c r="N48" i="8"/>
  <c r="F48" i="8"/>
  <c r="F39" i="8" s="1"/>
  <c r="G78" i="8"/>
  <c r="G77" i="8" s="1"/>
  <c r="H77" i="8"/>
  <c r="N78" i="8"/>
  <c r="N77" i="8" s="1"/>
  <c r="L91" i="8"/>
  <c r="N28" i="8"/>
  <c r="F127" i="8"/>
  <c r="L151" i="8"/>
  <c r="G153" i="8"/>
  <c r="L186" i="8"/>
  <c r="K101" i="8"/>
  <c r="K100" i="8" s="1"/>
  <c r="K89" i="8" s="1"/>
  <c r="H112" i="8"/>
  <c r="L134" i="8"/>
  <c r="L149" i="8"/>
  <c r="G192" i="8"/>
  <c r="M192" i="8" s="1"/>
  <c r="N202" i="8"/>
  <c r="M204" i="8"/>
  <c r="M203" i="8" s="1"/>
  <c r="H204" i="8"/>
  <c r="G203" i="8"/>
  <c r="H203" i="8" s="1"/>
  <c r="H198" i="8" s="1"/>
  <c r="N198" i="8" s="1"/>
  <c r="I198" i="8"/>
  <c r="L210" i="8"/>
  <c r="M215" i="8"/>
  <c r="M214" i="8" s="1"/>
  <c r="G214" i="8"/>
  <c r="L215" i="8"/>
  <c r="L224" i="8"/>
  <c r="N232" i="8"/>
  <c r="N231" i="8" s="1"/>
  <c r="N228" i="8" s="1"/>
  <c r="N227" i="8" s="1"/>
  <c r="L231" i="8"/>
  <c r="L249" i="8"/>
  <c r="G242" i="8"/>
  <c r="L267" i="8"/>
  <c r="M292" i="8"/>
  <c r="M291" i="8" s="1"/>
  <c r="M290" i="8" s="1"/>
  <c r="N319" i="8"/>
  <c r="N324" i="8"/>
  <c r="N323" i="8"/>
  <c r="L30" i="8"/>
  <c r="L35" i="8"/>
  <c r="M57" i="8"/>
  <c r="L67" i="8"/>
  <c r="H94" i="8"/>
  <c r="H91" i="8" s="1"/>
  <c r="H90" i="8" s="1"/>
  <c r="G101" i="8"/>
  <c r="G100" i="8" s="1"/>
  <c r="G89" i="8" s="1"/>
  <c r="M105" i="8"/>
  <c r="G133" i="8"/>
  <c r="G132" i="8" s="1"/>
  <c r="L139" i="8"/>
  <c r="J143" i="8"/>
  <c r="J127" i="8" s="1"/>
  <c r="J17" i="8" s="1"/>
  <c r="J16" i="8" s="1"/>
  <c r="M149" i="8"/>
  <c r="N150" i="8"/>
  <c r="N149" i="8" s="1"/>
  <c r="M179" i="8"/>
  <c r="M176" i="8" s="1"/>
  <c r="H185" i="8"/>
  <c r="N185" i="8"/>
  <c r="L203" i="8"/>
  <c r="J233" i="8"/>
  <c r="N256" i="8"/>
  <c r="K279" i="8"/>
  <c r="M321" i="8"/>
  <c r="H321" i="8"/>
  <c r="H340" i="8"/>
  <c r="H339" i="8" s="1"/>
  <c r="G339" i="8"/>
  <c r="G335" i="8" s="1"/>
  <c r="G329" i="8" s="1"/>
  <c r="N103" i="8"/>
  <c r="N102" i="8" s="1"/>
  <c r="N101" i="8" s="1"/>
  <c r="N100" i="8" s="1"/>
  <c r="L110" i="8"/>
  <c r="H179" i="8"/>
  <c r="H176" i="8" s="1"/>
  <c r="H175" i="8" s="1"/>
  <c r="N180" i="8"/>
  <c r="N179" i="8" s="1"/>
  <c r="N176" i="8" s="1"/>
  <c r="N175" i="8" s="1"/>
  <c r="F198" i="8"/>
  <c r="L198" i="8" s="1"/>
  <c r="G198" i="8"/>
  <c r="N395" i="8"/>
  <c r="N394" i="8" s="1"/>
  <c r="L57" i="8"/>
  <c r="I100" i="8"/>
  <c r="F101" i="8"/>
  <c r="F100" i="8" s="1"/>
  <c r="F89" i="8" s="1"/>
  <c r="N138" i="8"/>
  <c r="N137" i="8" s="1"/>
  <c r="K137" i="8"/>
  <c r="K133" i="8" s="1"/>
  <c r="K132" i="8" s="1"/>
  <c r="I144" i="8"/>
  <c r="I143" i="8" s="1"/>
  <c r="I127" i="8" s="1"/>
  <c r="H154" i="8"/>
  <c r="N154" i="8" s="1"/>
  <c r="M201" i="8"/>
  <c r="K201" i="8"/>
  <c r="J200" i="8"/>
  <c r="L19" i="8"/>
  <c r="K20" i="8"/>
  <c r="K19" i="8" s="1"/>
  <c r="K18" i="8" s="1"/>
  <c r="M103" i="8"/>
  <c r="N122" i="8"/>
  <c r="N121" i="8" s="1"/>
  <c r="N120" i="8" s="1"/>
  <c r="N112" i="8" s="1"/>
  <c r="L121" i="8"/>
  <c r="L128" i="8"/>
  <c r="N135" i="8"/>
  <c r="N134" i="8" s="1"/>
  <c r="N133" i="8" s="1"/>
  <c r="N132" i="8" s="1"/>
  <c r="L169" i="8"/>
  <c r="H169" i="8"/>
  <c r="N169" i="8" s="1"/>
  <c r="L204" i="8"/>
  <c r="K233" i="8"/>
  <c r="L234" i="8"/>
  <c r="N241" i="8"/>
  <c r="H240" i="8"/>
  <c r="H239" i="8" s="1"/>
  <c r="H238" i="8" s="1"/>
  <c r="H233" i="8" s="1"/>
  <c r="K243" i="8"/>
  <c r="K242" i="8" s="1"/>
  <c r="L279" i="8"/>
  <c r="M340" i="8"/>
  <c r="J198" i="8"/>
  <c r="I244" i="8"/>
  <c r="I243" i="8" s="1"/>
  <c r="I242" i="8" s="1"/>
  <c r="M244" i="8"/>
  <c r="M243" i="8" s="1"/>
  <c r="M270" i="8"/>
  <c r="M269" i="8" s="1"/>
  <c r="I292" i="8"/>
  <c r="G312" i="8"/>
  <c r="L315" i="8"/>
  <c r="L350" i="8"/>
  <c r="L374" i="8"/>
  <c r="F377" i="8"/>
  <c r="F376" i="8" s="1"/>
  <c r="I181" i="8"/>
  <c r="L193" i="8"/>
  <c r="H193" i="8"/>
  <c r="L238" i="8"/>
  <c r="F242" i="8"/>
  <c r="L269" i="8"/>
  <c r="N272" i="8"/>
  <c r="N271" i="8" s="1"/>
  <c r="N270" i="8" s="1"/>
  <c r="N269" i="8" s="1"/>
  <c r="H271" i="8"/>
  <c r="H270" i="8" s="1"/>
  <c r="H269" i="8" s="1"/>
  <c r="H242" i="8" s="1"/>
  <c r="N305" i="8"/>
  <c r="M325" i="8"/>
  <c r="G324" i="8"/>
  <c r="G323" i="8"/>
  <c r="N327" i="8"/>
  <c r="L344" i="8"/>
  <c r="F371" i="8"/>
  <c r="G290" i="8"/>
  <c r="F292" i="8"/>
  <c r="F291" i="8" s="1"/>
  <c r="F290" i="8" s="1"/>
  <c r="L331" i="8"/>
  <c r="N357" i="8"/>
  <c r="N356" i="8" s="1"/>
  <c r="L356" i="8"/>
  <c r="L362" i="8"/>
  <c r="M402" i="8"/>
  <c r="G398" i="8"/>
  <c r="H402" i="8"/>
  <c r="G195" i="8"/>
  <c r="N279" i="8"/>
  <c r="M283" i="8"/>
  <c r="M279" i="8" s="1"/>
  <c r="N294" i="8"/>
  <c r="N293" i="8" s="1"/>
  <c r="N292" i="8" s="1"/>
  <c r="N291" i="8" s="1"/>
  <c r="N290" i="8" s="1"/>
  <c r="L300" i="8"/>
  <c r="M307" i="8"/>
  <c r="M306" i="8" s="1"/>
  <c r="M305" i="8" s="1"/>
  <c r="M315" i="8"/>
  <c r="M314" i="8" s="1"/>
  <c r="M313" i="8" s="1"/>
  <c r="L325" i="8"/>
  <c r="F324" i="8"/>
  <c r="F323" i="8"/>
  <c r="F312" i="8" s="1"/>
  <c r="F329" i="8"/>
  <c r="F328" i="8" s="1"/>
  <c r="M331" i="8"/>
  <c r="M330" i="8" s="1"/>
  <c r="L335" i="8"/>
  <c r="N337" i="8"/>
  <c r="N336" i="8" s="1"/>
  <c r="H336" i="8"/>
  <c r="M339" i="8"/>
  <c r="N341" i="8"/>
  <c r="N350" i="8"/>
  <c r="N349" i="8" s="1"/>
  <c r="L364" i="8"/>
  <c r="J371" i="8"/>
  <c r="N385" i="8"/>
  <c r="L384" i="8"/>
  <c r="G348" i="8"/>
  <c r="N355" i="8"/>
  <c r="N354" i="8" s="1"/>
  <c r="N353" i="8" s="1"/>
  <c r="L354" i="8"/>
  <c r="M386" i="8"/>
  <c r="H386" i="8"/>
  <c r="H384" i="8" s="1"/>
  <c r="H383" i="8" s="1"/>
  <c r="G384" i="8"/>
  <c r="G383" i="8" s="1"/>
  <c r="G382" i="8" s="1"/>
  <c r="G371" i="8" s="1"/>
  <c r="L388" i="8"/>
  <c r="K348" i="8"/>
  <c r="K328" i="8" s="1"/>
  <c r="M365" i="8"/>
  <c r="M364" i="8" s="1"/>
  <c r="G364" i="8"/>
  <c r="I371" i="8"/>
  <c r="L377" i="8"/>
  <c r="F382" i="8"/>
  <c r="H89" i="8" l="1"/>
  <c r="H382" i="8"/>
  <c r="M48" i="8"/>
  <c r="M39" i="8" s="1"/>
  <c r="L72" i="8"/>
  <c r="L71" i="8" s="1"/>
  <c r="M78" i="8"/>
  <c r="M77" i="8" s="1"/>
  <c r="F17" i="8"/>
  <c r="F16" i="8" s="1"/>
  <c r="N39" i="8"/>
  <c r="M175" i="8"/>
  <c r="N335" i="8"/>
  <c r="N329" i="8" s="1"/>
  <c r="N328" i="8" s="1"/>
  <c r="M195" i="8"/>
  <c r="H195" i="8"/>
  <c r="N195" i="8" s="1"/>
  <c r="G181" i="8"/>
  <c r="M323" i="8"/>
  <c r="M312" i="8" s="1"/>
  <c r="M324" i="8"/>
  <c r="L349" i="8"/>
  <c r="I291" i="8"/>
  <c r="I17" i="8" s="1"/>
  <c r="I16" i="8" s="1"/>
  <c r="L292" i="8"/>
  <c r="N201" i="8"/>
  <c r="N255" i="8"/>
  <c r="L244" i="8"/>
  <c r="L223" i="8"/>
  <c r="L49" i="8"/>
  <c r="N94" i="8"/>
  <c r="N91" i="8" s="1"/>
  <c r="N90" i="8" s="1"/>
  <c r="N89" i="8" s="1"/>
  <c r="H398" i="8"/>
  <c r="N402" i="8"/>
  <c r="N398" i="8" s="1"/>
  <c r="L343" i="8"/>
  <c r="L373" i="8"/>
  <c r="L18" i="8"/>
  <c r="L66" i="8"/>
  <c r="L214" i="8"/>
  <c r="L133" i="8"/>
  <c r="L90" i="8"/>
  <c r="N386" i="8"/>
  <c r="L383" i="8"/>
  <c r="N339" i="8"/>
  <c r="M335" i="8"/>
  <c r="L330" i="8"/>
  <c r="H192" i="8"/>
  <c r="N192" i="8" s="1"/>
  <c r="N193" i="8"/>
  <c r="M242" i="8"/>
  <c r="N340" i="8"/>
  <c r="N240" i="8"/>
  <c r="K200" i="8"/>
  <c r="J199" i="8"/>
  <c r="M200" i="8"/>
  <c r="N321" i="8"/>
  <c r="L266" i="8"/>
  <c r="L209" i="8"/>
  <c r="L228" i="8"/>
  <c r="H153" i="8"/>
  <c r="M153" i="8"/>
  <c r="K143" i="8"/>
  <c r="K127" i="8" s="1"/>
  <c r="K17" i="8" s="1"/>
  <c r="K16" i="8" s="1"/>
  <c r="N348" i="8"/>
  <c r="L323" i="8"/>
  <c r="L324" i="8"/>
  <c r="N203" i="8"/>
  <c r="L376" i="8"/>
  <c r="L361" i="8"/>
  <c r="L143" i="8"/>
  <c r="N26" i="8"/>
  <c r="N25" i="8" s="1"/>
  <c r="N18" i="8" s="1"/>
  <c r="L25" i="8"/>
  <c r="L353" i="8"/>
  <c r="N384" i="8"/>
  <c r="N383" i="8" s="1"/>
  <c r="N382" i="8" s="1"/>
  <c r="N371" i="8" s="1"/>
  <c r="H335" i="8"/>
  <c r="H329" i="8" s="1"/>
  <c r="H328" i="8" s="1"/>
  <c r="M398" i="8"/>
  <c r="M384" i="8"/>
  <c r="M383" i="8" s="1"/>
  <c r="M382" i="8" s="1"/>
  <c r="M371" i="8" s="1"/>
  <c r="L314" i="8"/>
  <c r="L233" i="8"/>
  <c r="N204" i="8"/>
  <c r="L120" i="8"/>
  <c r="M102" i="8"/>
  <c r="M198" i="8"/>
  <c r="L109" i="8"/>
  <c r="G328" i="8"/>
  <c r="H181" i="8"/>
  <c r="L34" i="8"/>
  <c r="N318" i="8"/>
  <c r="L185" i="8"/>
  <c r="G144" i="8"/>
  <c r="G143" i="8" s="1"/>
  <c r="G127" i="8" s="1"/>
  <c r="L78" i="8"/>
  <c r="G17" i="8" l="1"/>
  <c r="G16" i="8" s="1"/>
  <c r="H371" i="8"/>
  <c r="L112" i="8"/>
  <c r="N243" i="8"/>
  <c r="N242" i="8" s="1"/>
  <c r="N239" i="8"/>
  <c r="L181" i="8"/>
  <c r="N314" i="8"/>
  <c r="N313" i="8" s="1"/>
  <c r="N312" i="8" s="1"/>
  <c r="M101" i="8"/>
  <c r="M329" i="8"/>
  <c r="M328" i="8" s="1"/>
  <c r="N153" i="8"/>
  <c r="N143" i="8" s="1"/>
  <c r="H144" i="8"/>
  <c r="H143" i="8" s="1"/>
  <c r="H127" i="8" s="1"/>
  <c r="H17" i="8" s="1"/>
  <c r="H16" i="8" s="1"/>
  <c r="M199" i="8"/>
  <c r="K199" i="8"/>
  <c r="N199" i="8" s="1"/>
  <c r="L329" i="8"/>
  <c r="L48" i="8"/>
  <c r="L243" i="8"/>
  <c r="L291" i="8"/>
  <c r="N181" i="8"/>
  <c r="L372" i="8"/>
  <c r="L348" i="8"/>
  <c r="L77" i="8"/>
  <c r="L360" i="8"/>
  <c r="N200" i="8"/>
  <c r="L132" i="8"/>
  <c r="L100" i="8"/>
  <c r="L313" i="8"/>
  <c r="L227" i="8"/>
  <c r="L265" i="8"/>
  <c r="L382" i="8"/>
  <c r="L89" i="8"/>
  <c r="L342" i="8"/>
  <c r="M181" i="8"/>
  <c r="L371" i="8" l="1"/>
  <c r="L127" i="8"/>
  <c r="L242" i="8"/>
  <c r="L328" i="8"/>
  <c r="N127" i="8"/>
  <c r="M100" i="8"/>
  <c r="M89" i="8" s="1"/>
  <c r="M143" i="8"/>
  <c r="L290" i="8"/>
  <c r="L39" i="8"/>
  <c r="L312" i="8"/>
  <c r="N238" i="8"/>
  <c r="L17" i="8" l="1"/>
  <c r="M127" i="8"/>
  <c r="N233" i="8"/>
  <c r="M17" i="8" l="1"/>
  <c r="M16" i="8" s="1"/>
  <c r="L16" i="8"/>
  <c r="N17" i="8"/>
  <c r="N16" i="8" s="1"/>
  <c r="G144" i="6" l="1"/>
  <c r="G350" i="6" l="1"/>
  <c r="M351" i="6" l="1"/>
  <c r="N351" i="6" s="1"/>
  <c r="H351" i="6"/>
  <c r="G109" i="6" l="1"/>
  <c r="G101" i="6"/>
  <c r="G120" i="6" l="1"/>
  <c r="N173" i="6"/>
  <c r="M173" i="6"/>
  <c r="H173" i="6"/>
  <c r="G173" i="6"/>
  <c r="N184" i="6"/>
  <c r="M184" i="6"/>
  <c r="H184" i="6"/>
  <c r="G184" i="6"/>
  <c r="N185" i="6"/>
  <c r="M185" i="6"/>
  <c r="H185" i="6"/>
  <c r="N186" i="6"/>
  <c r="G185" i="6"/>
  <c r="M186" i="6"/>
  <c r="H186" i="6"/>
  <c r="G396" i="6"/>
  <c r="H343" i="6" l="1"/>
  <c r="H377" i="6"/>
  <c r="N367" i="6"/>
  <c r="M367" i="6"/>
  <c r="H367" i="6"/>
  <c r="N71" i="6"/>
  <c r="H71" i="6"/>
  <c r="N72" i="6"/>
  <c r="M72" i="6"/>
  <c r="H72" i="6"/>
  <c r="N347" i="6" l="1"/>
  <c r="M347" i="6"/>
  <c r="H347" i="6"/>
  <c r="M176" i="6"/>
  <c r="N176" i="6" s="1"/>
  <c r="H176" i="6"/>
  <c r="G179" i="6"/>
  <c r="N329" i="6" l="1"/>
  <c r="M329" i="6"/>
  <c r="H329" i="6"/>
  <c r="N113" i="6"/>
  <c r="M113" i="6"/>
  <c r="H113" i="6"/>
  <c r="H324" i="6" l="1"/>
  <c r="H27" i="6" l="1"/>
  <c r="N207" i="6" l="1"/>
  <c r="H207" i="6"/>
  <c r="N209" i="6"/>
  <c r="M209" i="6"/>
  <c r="H209" i="6"/>
  <c r="H66" i="6"/>
  <c r="N236" i="6"/>
  <c r="G237" i="6"/>
  <c r="H238" i="6"/>
  <c r="M71" i="6" l="1"/>
  <c r="N73" i="6"/>
  <c r="M73" i="6"/>
  <c r="H73" i="6"/>
  <c r="N74" i="6"/>
  <c r="M74" i="6"/>
  <c r="G71" i="6"/>
  <c r="H74" i="6"/>
  <c r="M332" i="6" l="1"/>
  <c r="N332" i="6" s="1"/>
  <c r="H332" i="6"/>
  <c r="G154" i="6" l="1"/>
  <c r="G150" i="6"/>
  <c r="G311" i="6"/>
  <c r="H309" i="6"/>
  <c r="H101" i="6" l="1"/>
  <c r="N101" i="6" s="1"/>
  <c r="J101" i="6"/>
  <c r="M101" i="6" s="1"/>
  <c r="K101" i="6"/>
  <c r="L101" i="6"/>
  <c r="M291" i="6" l="1"/>
  <c r="J290" i="6"/>
  <c r="M290" i="6" s="1"/>
  <c r="M284" i="6" s="1"/>
  <c r="K291" i="6"/>
  <c r="K290" i="6" s="1"/>
  <c r="J51" i="6"/>
  <c r="K51" i="6" s="1"/>
  <c r="J53" i="6"/>
  <c r="K53" i="6" s="1"/>
  <c r="M51" i="6" l="1"/>
  <c r="N51" i="6" s="1"/>
  <c r="N290" i="6"/>
  <c r="K284" i="6"/>
  <c r="J284" i="6"/>
  <c r="N291" i="6"/>
  <c r="M53" i="6"/>
  <c r="N53" i="6" s="1"/>
  <c r="J50" i="6"/>
  <c r="M120" i="6" l="1"/>
  <c r="N120" i="6" s="1"/>
  <c r="H120" i="6"/>
  <c r="M303" i="6" l="1"/>
  <c r="J302" i="6"/>
  <c r="J297" i="6" s="1"/>
  <c r="K303" i="6"/>
  <c r="N303" i="6" s="1"/>
  <c r="M302" i="6" l="1"/>
  <c r="K302" i="6"/>
  <c r="H311" i="6"/>
  <c r="N22" i="6"/>
  <c r="N20" i="6" s="1"/>
  <c r="M22" i="6"/>
  <c r="G20" i="6"/>
  <c r="M20" i="6" s="1"/>
  <c r="M24" i="6"/>
  <c r="N24" i="6" s="1"/>
  <c r="H24" i="6"/>
  <c r="H20" i="6" l="1"/>
  <c r="K297" i="6"/>
  <c r="N302" i="6"/>
  <c r="M379" i="6"/>
  <c r="N379" i="6" s="1"/>
  <c r="H379" i="6"/>
  <c r="H355" i="6" l="1"/>
  <c r="H325" i="6" l="1"/>
  <c r="H172" i="6" l="1"/>
  <c r="M350" i="6" l="1"/>
  <c r="N350" i="6" s="1"/>
  <c r="H350" i="6"/>
  <c r="M222" i="6" l="1"/>
  <c r="K222" i="6"/>
  <c r="K87" i="5"/>
  <c r="J87" i="5"/>
  <c r="M233" i="6" l="1"/>
  <c r="N233" i="6" s="1"/>
  <c r="H233" i="6"/>
  <c r="L222" i="6" l="1"/>
  <c r="M223" i="6"/>
  <c r="N224" i="6"/>
  <c r="M224" i="6"/>
  <c r="H223" i="6"/>
  <c r="N223" i="6" s="1"/>
  <c r="H224" i="6"/>
  <c r="H264" i="6" l="1"/>
  <c r="G300" i="6" l="1"/>
  <c r="H151" i="6" l="1"/>
  <c r="G156" i="6"/>
  <c r="H152" i="6"/>
  <c r="M148" i="6"/>
  <c r="N148" i="6" s="1"/>
  <c r="H148" i="6"/>
  <c r="J141" i="6" l="1"/>
  <c r="N159" i="6"/>
  <c r="M159" i="6"/>
  <c r="N160" i="6"/>
  <c r="M160" i="6"/>
  <c r="N157" i="6"/>
  <c r="M157" i="6"/>
  <c r="M158" i="6"/>
  <c r="K158" i="6"/>
  <c r="N158" i="6" s="1"/>
  <c r="H58" i="6" l="1"/>
  <c r="M300" i="6" l="1"/>
  <c r="N300" i="6" s="1"/>
  <c r="H300" i="6"/>
  <c r="M79" i="6"/>
  <c r="N79" i="6" s="1"/>
  <c r="H79" i="6"/>
  <c r="M378" i="6" l="1"/>
  <c r="N378" i="6" s="1"/>
  <c r="H378" i="6"/>
  <c r="M344" i="6" l="1"/>
  <c r="N344" i="6" s="1"/>
  <c r="H344" i="6"/>
  <c r="M154" i="6" l="1"/>
  <c r="N154" i="6" s="1"/>
  <c r="H150" i="6"/>
  <c r="H154" i="6"/>
  <c r="M109" i="6" l="1"/>
  <c r="N109" i="6" s="1"/>
  <c r="H109" i="6"/>
  <c r="H307" i="6" l="1"/>
  <c r="H289" i="5"/>
  <c r="L394" i="6"/>
  <c r="H94" i="6"/>
  <c r="N94" i="6" s="1"/>
  <c r="L95" i="6"/>
  <c r="K92" i="6" l="1"/>
  <c r="L360" i="6"/>
  <c r="H360" i="6"/>
  <c r="N360" i="6" s="1"/>
  <c r="N355" i="6"/>
  <c r="L355" i="6"/>
  <c r="H354" i="6"/>
  <c r="H353" i="6" s="1"/>
  <c r="H352" i="6" s="1"/>
  <c r="N343" i="6"/>
  <c r="L343" i="6"/>
  <c r="L342" i="6" s="1"/>
  <c r="L341" i="6" s="1"/>
  <c r="H317" i="6"/>
  <c r="H316" i="6" s="1"/>
  <c r="L318" i="6"/>
  <c r="F317" i="6"/>
  <c r="L317" i="6" s="1"/>
  <c r="L243" i="6"/>
  <c r="L244" i="6"/>
  <c r="N218" i="6"/>
  <c r="L218" i="6"/>
  <c r="F94" i="6"/>
  <c r="L94" i="6" s="1"/>
  <c r="M396" i="6"/>
  <c r="L396" i="6"/>
  <c r="H396" i="6"/>
  <c r="N396" i="6" s="1"/>
  <c r="L395" i="6"/>
  <c r="G395" i="6"/>
  <c r="M395" i="6" s="1"/>
  <c r="G394" i="6"/>
  <c r="H394" i="6" s="1"/>
  <c r="N394" i="6" s="1"/>
  <c r="I392" i="6"/>
  <c r="I391" i="6" s="1"/>
  <c r="I390" i="6" s="1"/>
  <c r="N391" i="6"/>
  <c r="N390" i="6" s="1"/>
  <c r="F391" i="6"/>
  <c r="F390" i="6" s="1"/>
  <c r="M389" i="6"/>
  <c r="H389" i="6"/>
  <c r="M388" i="6"/>
  <c r="L388" i="6"/>
  <c r="H388" i="6"/>
  <c r="N388" i="6" s="1"/>
  <c r="K387" i="6"/>
  <c r="K386" i="6" s="1"/>
  <c r="I387" i="6"/>
  <c r="G387" i="6"/>
  <c r="G386" i="6" s="1"/>
  <c r="F387" i="6"/>
  <c r="F386" i="6" s="1"/>
  <c r="J386" i="6"/>
  <c r="I386" i="6"/>
  <c r="N384" i="6"/>
  <c r="M384" i="6"/>
  <c r="L384" i="6"/>
  <c r="K384" i="6"/>
  <c r="I384" i="6"/>
  <c r="H384" i="6"/>
  <c r="H380" i="6" s="1"/>
  <c r="G384" i="6"/>
  <c r="F384" i="6"/>
  <c r="N381" i="6"/>
  <c r="L381" i="6"/>
  <c r="K381" i="6"/>
  <c r="I381" i="6"/>
  <c r="I380" i="6" s="1"/>
  <c r="N380" i="6"/>
  <c r="M380" i="6"/>
  <c r="G380" i="6"/>
  <c r="F380" i="6"/>
  <c r="M377" i="6"/>
  <c r="M376" i="6" s="1"/>
  <c r="M375" i="6" s="1"/>
  <c r="L377" i="6"/>
  <c r="L376" i="6" s="1"/>
  <c r="L375" i="6" s="1"/>
  <c r="H376" i="6"/>
  <c r="H375" i="6" s="1"/>
  <c r="K376" i="6"/>
  <c r="K375" i="6" s="1"/>
  <c r="I376" i="6"/>
  <c r="I375" i="6" s="1"/>
  <c r="G376" i="6"/>
  <c r="G375" i="6" s="1"/>
  <c r="F376" i="6"/>
  <c r="F375" i="6" s="1"/>
  <c r="J375" i="6"/>
  <c r="J374" i="6" s="1"/>
  <c r="N373" i="6"/>
  <c r="L373" i="6"/>
  <c r="L372" i="6" s="1"/>
  <c r="H373" i="6"/>
  <c r="H372" i="6" s="1"/>
  <c r="F373" i="6"/>
  <c r="F372" i="6" s="1"/>
  <c r="N372" i="6"/>
  <c r="M372" i="6"/>
  <c r="K372" i="6"/>
  <c r="I372" i="6"/>
  <c r="G372" i="6"/>
  <c r="N371" i="6"/>
  <c r="N370" i="6" s="1"/>
  <c r="L371" i="6"/>
  <c r="L370" i="6" s="1"/>
  <c r="H371" i="6"/>
  <c r="H370" i="6" s="1"/>
  <c r="F371" i="6"/>
  <c r="M370" i="6"/>
  <c r="M369" i="6" s="1"/>
  <c r="M368" i="6" s="1"/>
  <c r="K370" i="6"/>
  <c r="I370" i="6"/>
  <c r="G370" i="6"/>
  <c r="F370" i="6"/>
  <c r="J369" i="6"/>
  <c r="J368" i="6" s="1"/>
  <c r="N366" i="6"/>
  <c r="N365" i="6" s="1"/>
  <c r="N364" i="6" s="1"/>
  <c r="M366" i="6"/>
  <c r="L366" i="6"/>
  <c r="K366" i="6"/>
  <c r="I366" i="6"/>
  <c r="I365" i="6" s="1"/>
  <c r="I364" i="6" s="1"/>
  <c r="H366" i="6"/>
  <c r="H365" i="6" s="1"/>
  <c r="H364" i="6" s="1"/>
  <c r="G366" i="6"/>
  <c r="G365" i="6" s="1"/>
  <c r="G364" i="6" s="1"/>
  <c r="F366" i="6"/>
  <c r="F365" i="6" s="1"/>
  <c r="F364" i="6" s="1"/>
  <c r="M365" i="6"/>
  <c r="M364" i="6" s="1"/>
  <c r="L365" i="6"/>
  <c r="L364" i="6" s="1"/>
  <c r="K365" i="6"/>
  <c r="K364" i="6" s="1"/>
  <c r="J365" i="6"/>
  <c r="J364" i="6" s="1"/>
  <c r="M362" i="6"/>
  <c r="L362" i="6"/>
  <c r="H362" i="6"/>
  <c r="N362" i="6" s="1"/>
  <c r="M361" i="6"/>
  <c r="L361" i="6"/>
  <c r="H361" i="6"/>
  <c r="N361" i="6" s="1"/>
  <c r="M360" i="6"/>
  <c r="L359" i="6"/>
  <c r="L358" i="6" s="1"/>
  <c r="H359" i="6"/>
  <c r="H358" i="6" s="1"/>
  <c r="M359" i="6"/>
  <c r="M358" i="6" s="1"/>
  <c r="K358" i="6"/>
  <c r="K357" i="6" s="1"/>
  <c r="K356" i="6" s="1"/>
  <c r="I358" i="6"/>
  <c r="I357" i="6" s="1"/>
  <c r="I356" i="6" s="1"/>
  <c r="G358" i="6"/>
  <c r="G357" i="6" s="1"/>
  <c r="F358" i="6"/>
  <c r="F357" i="6" s="1"/>
  <c r="J356" i="6"/>
  <c r="M355" i="6"/>
  <c r="L354" i="6"/>
  <c r="L353" i="6" s="1"/>
  <c r="L352" i="6" s="1"/>
  <c r="K354" i="6"/>
  <c r="K353" i="6" s="1"/>
  <c r="K352" i="6" s="1"/>
  <c r="I354" i="6"/>
  <c r="I353" i="6" s="1"/>
  <c r="I352" i="6" s="1"/>
  <c r="G354" i="6"/>
  <c r="G353" i="6" s="1"/>
  <c r="G352" i="6" s="1"/>
  <c r="F354" i="6"/>
  <c r="F353" i="6" s="1"/>
  <c r="F352" i="6" s="1"/>
  <c r="J352" i="6"/>
  <c r="N349" i="6"/>
  <c r="M349" i="6"/>
  <c r="L349" i="6"/>
  <c r="K349" i="6"/>
  <c r="K348" i="6" s="1"/>
  <c r="I349" i="6"/>
  <c r="I348" i="6" s="1"/>
  <c r="H349" i="6"/>
  <c r="H348" i="6" s="1"/>
  <c r="G349" i="6"/>
  <c r="G348" i="6" s="1"/>
  <c r="F349" i="6"/>
  <c r="F348" i="6" s="1"/>
  <c r="N348" i="6"/>
  <c r="M348" i="6"/>
  <c r="L348" i="6"/>
  <c r="N346" i="6"/>
  <c r="N345" i="6" s="1"/>
  <c r="M346" i="6"/>
  <c r="M345" i="6" s="1"/>
  <c r="L346" i="6"/>
  <c r="K346" i="6"/>
  <c r="K345" i="6" s="1"/>
  <c r="I346" i="6"/>
  <c r="I345" i="6" s="1"/>
  <c r="H346" i="6"/>
  <c r="H345" i="6" s="1"/>
  <c r="G346" i="6"/>
  <c r="F346" i="6"/>
  <c r="F345" i="6" s="1"/>
  <c r="L345" i="6"/>
  <c r="G345" i="6"/>
  <c r="M343" i="6"/>
  <c r="H342" i="6"/>
  <c r="H341" i="6" s="1"/>
  <c r="K342" i="6"/>
  <c r="I342" i="6"/>
  <c r="G342" i="6"/>
  <c r="G341" i="6" s="1"/>
  <c r="F342" i="6"/>
  <c r="F341" i="6" s="1"/>
  <c r="K341" i="6"/>
  <c r="I341" i="6"/>
  <c r="J340" i="6"/>
  <c r="N338" i="6"/>
  <c r="M338" i="6"/>
  <c r="L338" i="6"/>
  <c r="K338" i="6"/>
  <c r="I338" i="6"/>
  <c r="H338" i="6"/>
  <c r="G338" i="6"/>
  <c r="F338" i="6"/>
  <c r="N337" i="6"/>
  <c r="N336" i="6" s="1"/>
  <c r="N335" i="6" s="1"/>
  <c r="N334" i="6" s="1"/>
  <c r="M337" i="6"/>
  <c r="M336" i="6" s="1"/>
  <c r="M335" i="6" s="1"/>
  <c r="M334" i="6" s="1"/>
  <c r="L337" i="6"/>
  <c r="L336" i="6" s="1"/>
  <c r="L335" i="6" s="1"/>
  <c r="L334" i="6" s="1"/>
  <c r="K336" i="6"/>
  <c r="I336" i="6"/>
  <c r="H336" i="6"/>
  <c r="G336" i="6"/>
  <c r="F336" i="6"/>
  <c r="I335" i="6"/>
  <c r="I334" i="6" s="1"/>
  <c r="J334" i="6"/>
  <c r="M333" i="6"/>
  <c r="K331" i="6"/>
  <c r="I331" i="6"/>
  <c r="F331" i="6"/>
  <c r="L331" i="6" s="1"/>
  <c r="N328" i="6"/>
  <c r="M328" i="6"/>
  <c r="L328" i="6"/>
  <c r="K328" i="6"/>
  <c r="I328" i="6"/>
  <c r="H328" i="6"/>
  <c r="G328" i="6"/>
  <c r="F328" i="6"/>
  <c r="N325" i="6"/>
  <c r="M325" i="6"/>
  <c r="L325" i="6"/>
  <c r="M324" i="6"/>
  <c r="L324" i="6"/>
  <c r="N324" i="6"/>
  <c r="K323" i="6"/>
  <c r="K322" i="6" s="1"/>
  <c r="I323" i="6"/>
  <c r="I322" i="6" s="1"/>
  <c r="G323" i="6"/>
  <c r="G322" i="6" s="1"/>
  <c r="F323" i="6"/>
  <c r="F322" i="6" s="1"/>
  <c r="J321" i="6"/>
  <c r="M319" i="6"/>
  <c r="N319" i="6" s="1"/>
  <c r="H319" i="6"/>
  <c r="M318" i="6"/>
  <c r="N318" i="6"/>
  <c r="M317" i="6"/>
  <c r="M315" i="6" s="1"/>
  <c r="G316" i="6"/>
  <c r="F316" i="6"/>
  <c r="J315" i="6"/>
  <c r="G315" i="6"/>
  <c r="F315" i="6"/>
  <c r="M314" i="6"/>
  <c r="L314" i="6"/>
  <c r="H314" i="6"/>
  <c r="N314" i="6" s="1"/>
  <c r="G313" i="6"/>
  <c r="H313" i="6" s="1"/>
  <c r="L312" i="6"/>
  <c r="H312" i="6"/>
  <c r="N312" i="6" s="1"/>
  <c r="G312" i="6"/>
  <c r="M312" i="6" s="1"/>
  <c r="M311" i="6"/>
  <c r="M310" i="6" s="1"/>
  <c r="L311" i="6"/>
  <c r="L310" i="6" s="1"/>
  <c r="K311" i="6"/>
  <c r="N311" i="6" s="1"/>
  <c r="N310" i="6" s="1"/>
  <c r="I310" i="6"/>
  <c r="H310" i="6"/>
  <c r="G310" i="6"/>
  <c r="F310" i="6"/>
  <c r="M309" i="6"/>
  <c r="L309" i="6"/>
  <c r="N309" i="6"/>
  <c r="M308" i="6"/>
  <c r="L308" i="6"/>
  <c r="K307" i="6"/>
  <c r="I307" i="6"/>
  <c r="G307" i="6"/>
  <c r="F307" i="6"/>
  <c r="J306" i="6"/>
  <c r="J305" i="6" s="1"/>
  <c r="J304" i="6" s="1"/>
  <c r="N299" i="6"/>
  <c r="N298" i="6" s="1"/>
  <c r="N297" i="6" s="1"/>
  <c r="M299" i="6"/>
  <c r="M298" i="6" s="1"/>
  <c r="M297" i="6" s="1"/>
  <c r="L299" i="6"/>
  <c r="K299" i="6"/>
  <c r="K298" i="6" s="1"/>
  <c r="I299" i="6"/>
  <c r="I298" i="6" s="1"/>
  <c r="I297" i="6" s="1"/>
  <c r="H299" i="6"/>
  <c r="H298" i="6" s="1"/>
  <c r="H297" i="6" s="1"/>
  <c r="G299" i="6"/>
  <c r="F299" i="6"/>
  <c r="F298" i="6" s="1"/>
  <c r="F297" i="6" s="1"/>
  <c r="L298" i="6"/>
  <c r="L297" i="6" s="1"/>
  <c r="G298" i="6"/>
  <c r="G297" i="6" s="1"/>
  <c r="N294" i="6"/>
  <c r="M294" i="6"/>
  <c r="L294" i="6"/>
  <c r="K294" i="6"/>
  <c r="I294" i="6"/>
  <c r="I293" i="6" s="1"/>
  <c r="I292" i="6" s="1"/>
  <c r="H294" i="6"/>
  <c r="H293" i="6" s="1"/>
  <c r="H292" i="6" s="1"/>
  <c r="G294" i="6"/>
  <c r="G293" i="6" s="1"/>
  <c r="G292" i="6" s="1"/>
  <c r="F294" i="6"/>
  <c r="F293" i="6" s="1"/>
  <c r="F292" i="6" s="1"/>
  <c r="N293" i="6"/>
  <c r="N292" i="6" s="1"/>
  <c r="M293" i="6"/>
  <c r="M292" i="6" s="1"/>
  <c r="L293" i="6"/>
  <c r="L292" i="6" s="1"/>
  <c r="K293" i="6"/>
  <c r="K292" i="6" s="1"/>
  <c r="J292" i="6"/>
  <c r="N287" i="6"/>
  <c r="M287" i="6"/>
  <c r="L287" i="6"/>
  <c r="K287" i="6"/>
  <c r="I287" i="6"/>
  <c r="H287" i="6"/>
  <c r="G287" i="6"/>
  <c r="F287" i="6"/>
  <c r="N285" i="6"/>
  <c r="N284" i="6" s="1"/>
  <c r="M285" i="6"/>
  <c r="L285" i="6"/>
  <c r="L284" i="6" s="1"/>
  <c r="L283" i="6" s="1"/>
  <c r="K285" i="6"/>
  <c r="I285" i="6"/>
  <c r="I284" i="6" s="1"/>
  <c r="I283" i="6" s="1"/>
  <c r="H285" i="6"/>
  <c r="G285" i="6"/>
  <c r="F285" i="6"/>
  <c r="F284" i="6" s="1"/>
  <c r="F283" i="6" s="1"/>
  <c r="H284" i="6"/>
  <c r="H283" i="6" s="1"/>
  <c r="G284" i="6"/>
  <c r="N283" i="6"/>
  <c r="M283" i="6"/>
  <c r="K283" i="6"/>
  <c r="J283" i="6"/>
  <c r="G283" i="6"/>
  <c r="M281" i="6"/>
  <c r="H281" i="6"/>
  <c r="N280" i="6" s="1"/>
  <c r="M280" i="6"/>
  <c r="H280" i="6"/>
  <c r="M279" i="6"/>
  <c r="H279" i="6"/>
  <c r="M278" i="6"/>
  <c r="H278" i="6"/>
  <c r="N278" i="6" s="1"/>
  <c r="N276" i="6"/>
  <c r="M276" i="6"/>
  <c r="M275" i="6" s="1"/>
  <c r="L276" i="6"/>
  <c r="L275" i="6" s="1"/>
  <c r="K276" i="6"/>
  <c r="K275" i="6" s="1"/>
  <c r="I276" i="6"/>
  <c r="I275" i="6" s="1"/>
  <c r="H276" i="6"/>
  <c r="H275" i="6" s="1"/>
  <c r="G276" i="6"/>
  <c r="G275" i="6" s="1"/>
  <c r="F276" i="6"/>
  <c r="F275" i="6" s="1"/>
  <c r="N275" i="6"/>
  <c r="N273" i="6"/>
  <c r="N272" i="6" s="1"/>
  <c r="M273" i="6"/>
  <c r="M272" i="6" s="1"/>
  <c r="L273" i="6"/>
  <c r="L272" i="6" s="1"/>
  <c r="K273" i="6"/>
  <c r="K272" i="6" s="1"/>
  <c r="I273" i="6"/>
  <c r="I272" i="6" s="1"/>
  <c r="H273" i="6"/>
  <c r="H272" i="6" s="1"/>
  <c r="G273" i="6"/>
  <c r="G272" i="6" s="1"/>
  <c r="F273" i="6"/>
  <c r="F272" i="6" s="1"/>
  <c r="J271" i="6"/>
  <c r="N269" i="6"/>
  <c r="M269" i="6"/>
  <c r="L269" i="6"/>
  <c r="L268" i="6" s="1"/>
  <c r="L267" i="6" s="1"/>
  <c r="K269" i="6"/>
  <c r="K268" i="6" s="1"/>
  <c r="K267" i="6" s="1"/>
  <c r="I269" i="6"/>
  <c r="I268" i="6" s="1"/>
  <c r="I267" i="6" s="1"/>
  <c r="H269" i="6"/>
  <c r="H268" i="6" s="1"/>
  <c r="H267" i="6" s="1"/>
  <c r="G269" i="6"/>
  <c r="G268" i="6" s="1"/>
  <c r="G267" i="6" s="1"/>
  <c r="F269" i="6"/>
  <c r="F268" i="6" s="1"/>
  <c r="F267" i="6" s="1"/>
  <c r="N268" i="6"/>
  <c r="N267" i="6" s="1"/>
  <c r="M268" i="6"/>
  <c r="M267" i="6" s="1"/>
  <c r="J267" i="6"/>
  <c r="N265" i="6"/>
  <c r="M265" i="6"/>
  <c r="L265" i="6"/>
  <c r="K265" i="6"/>
  <c r="I265" i="6"/>
  <c r="H265" i="6"/>
  <c r="G265" i="6"/>
  <c r="F265" i="6"/>
  <c r="N264" i="6"/>
  <c r="N263" i="6" s="1"/>
  <c r="N262" i="6" s="1"/>
  <c r="N261" i="6" s="1"/>
  <c r="M264" i="6"/>
  <c r="M263" i="6" s="1"/>
  <c r="M262" i="6" s="1"/>
  <c r="M261" i="6" s="1"/>
  <c r="L264" i="6"/>
  <c r="L263" i="6" s="1"/>
  <c r="L262" i="6" s="1"/>
  <c r="L261" i="6" s="1"/>
  <c r="K263" i="6"/>
  <c r="I263" i="6"/>
  <c r="H263" i="6"/>
  <c r="G263" i="6"/>
  <c r="G262" i="6" s="1"/>
  <c r="G261" i="6" s="1"/>
  <c r="F263" i="6"/>
  <c r="I262" i="6"/>
  <c r="I261" i="6" s="1"/>
  <c r="N260" i="6"/>
  <c r="N259" i="6" s="1"/>
  <c r="N258" i="6" s="1"/>
  <c r="N257" i="6" s="1"/>
  <c r="M260" i="6"/>
  <c r="M259" i="6" s="1"/>
  <c r="M258" i="6" s="1"/>
  <c r="M257" i="6" s="1"/>
  <c r="L260" i="6"/>
  <c r="L259" i="6" s="1"/>
  <c r="L258" i="6" s="1"/>
  <c r="L257" i="6" s="1"/>
  <c r="K259" i="6"/>
  <c r="K258" i="6" s="1"/>
  <c r="K257" i="6" s="1"/>
  <c r="I259" i="6"/>
  <c r="I258" i="6" s="1"/>
  <c r="I257" i="6" s="1"/>
  <c r="H259" i="6"/>
  <c r="H258" i="6" s="1"/>
  <c r="H257" i="6" s="1"/>
  <c r="G259" i="6"/>
  <c r="G258" i="6" s="1"/>
  <c r="G257" i="6" s="1"/>
  <c r="F259" i="6"/>
  <c r="F258" i="6" s="1"/>
  <c r="F257" i="6" s="1"/>
  <c r="M256" i="6"/>
  <c r="H256" i="6"/>
  <c r="N256" i="6" s="1"/>
  <c r="M255" i="6"/>
  <c r="H255" i="6"/>
  <c r="N255" i="6" s="1"/>
  <c r="M254" i="6"/>
  <c r="H254" i="6"/>
  <c r="N254" i="6" s="1"/>
  <c r="M253" i="6"/>
  <c r="H253" i="6"/>
  <c r="N253" i="6" s="1"/>
  <c r="N252" i="6"/>
  <c r="N251" i="6" s="1"/>
  <c r="N250" i="6" s="1"/>
  <c r="L252" i="6"/>
  <c r="L251" i="6" s="1"/>
  <c r="L250" i="6" s="1"/>
  <c r="H252" i="6"/>
  <c r="H251" i="6" s="1"/>
  <c r="H250" i="6" s="1"/>
  <c r="F252" i="6"/>
  <c r="M251" i="6"/>
  <c r="M250" i="6" s="1"/>
  <c r="K251" i="6"/>
  <c r="K250" i="6" s="1"/>
  <c r="I251" i="6"/>
  <c r="I250" i="6" s="1"/>
  <c r="G251" i="6"/>
  <c r="G250" i="6" s="1"/>
  <c r="F251" i="6"/>
  <c r="F250" i="6" s="1"/>
  <c r="N249" i="6"/>
  <c r="L249" i="6"/>
  <c r="L248" i="6" s="1"/>
  <c r="L247" i="6" s="1"/>
  <c r="H249" i="6"/>
  <c r="H248" i="6" s="1"/>
  <c r="H247" i="6" s="1"/>
  <c r="F249" i="6"/>
  <c r="F248" i="6" s="1"/>
  <c r="F247" i="6" s="1"/>
  <c r="N248" i="6"/>
  <c r="N247" i="6" s="1"/>
  <c r="M248" i="6"/>
  <c r="M247" i="6" s="1"/>
  <c r="K248" i="6"/>
  <c r="K247" i="6" s="1"/>
  <c r="I248" i="6"/>
  <c r="I247" i="6" s="1"/>
  <c r="G248" i="6"/>
  <c r="G247" i="6" s="1"/>
  <c r="N245" i="6"/>
  <c r="M245" i="6"/>
  <c r="L245" i="6"/>
  <c r="K245" i="6"/>
  <c r="I245" i="6"/>
  <c r="H245" i="6"/>
  <c r="G245" i="6"/>
  <c r="F245" i="6"/>
  <c r="M244" i="6"/>
  <c r="N244" i="6"/>
  <c r="M243" i="6"/>
  <c r="N243" i="6"/>
  <c r="M242" i="6"/>
  <c r="M241" i="6" s="1"/>
  <c r="L242" i="6"/>
  <c r="L241" i="6" s="1"/>
  <c r="H242" i="6"/>
  <c r="H241" i="6" s="1"/>
  <c r="K241" i="6"/>
  <c r="I241" i="6"/>
  <c r="G241" i="6"/>
  <c r="F241" i="6"/>
  <c r="M239" i="6"/>
  <c r="L239" i="6"/>
  <c r="N238" i="6"/>
  <c r="M238" i="6"/>
  <c r="L238" i="6"/>
  <c r="K237" i="6"/>
  <c r="I237" i="6"/>
  <c r="F237" i="6"/>
  <c r="J235" i="6"/>
  <c r="N232" i="6"/>
  <c r="N231" i="6" s="1"/>
  <c r="N230" i="6" s="1"/>
  <c r="M232" i="6"/>
  <c r="M231" i="6" s="1"/>
  <c r="M230" i="6" s="1"/>
  <c r="L232" i="6"/>
  <c r="L231" i="6" s="1"/>
  <c r="L230" i="6" s="1"/>
  <c r="K232" i="6"/>
  <c r="K231" i="6" s="1"/>
  <c r="K230" i="6" s="1"/>
  <c r="I232" i="6"/>
  <c r="I231" i="6" s="1"/>
  <c r="I230" i="6" s="1"/>
  <c r="H232" i="6"/>
  <c r="H231" i="6" s="1"/>
  <c r="H230" i="6" s="1"/>
  <c r="G232" i="6"/>
  <c r="G231" i="6" s="1"/>
  <c r="G230" i="6" s="1"/>
  <c r="F232" i="6"/>
  <c r="F231" i="6" s="1"/>
  <c r="F230" i="6" s="1"/>
  <c r="J230" i="6"/>
  <c r="N228" i="6"/>
  <c r="M228" i="6"/>
  <c r="M227" i="6" s="1"/>
  <c r="M226" i="6" s="1"/>
  <c r="L228" i="6"/>
  <c r="L227" i="6" s="1"/>
  <c r="L226" i="6" s="1"/>
  <c r="K228" i="6"/>
  <c r="K227" i="6" s="1"/>
  <c r="K226" i="6" s="1"/>
  <c r="I228" i="6"/>
  <c r="I227" i="6" s="1"/>
  <c r="I226" i="6" s="1"/>
  <c r="H228" i="6"/>
  <c r="H227" i="6" s="1"/>
  <c r="H226" i="6" s="1"/>
  <c r="G228" i="6"/>
  <c r="G227" i="6" s="1"/>
  <c r="G226" i="6" s="1"/>
  <c r="F228" i="6"/>
  <c r="F227" i="6" s="1"/>
  <c r="F226" i="6" s="1"/>
  <c r="N227" i="6"/>
  <c r="N226" i="6" s="1"/>
  <c r="J226" i="6"/>
  <c r="J225" i="6" s="1"/>
  <c r="H222" i="6"/>
  <c r="M221" i="6"/>
  <c r="L221" i="6"/>
  <c r="L220" i="6" s="1"/>
  <c r="L219" i="6" s="1"/>
  <c r="K221" i="6"/>
  <c r="K220" i="6" s="1"/>
  <c r="K219" i="6" s="1"/>
  <c r="I221" i="6"/>
  <c r="I220" i="6" s="1"/>
  <c r="I219" i="6" s="1"/>
  <c r="G221" i="6"/>
  <c r="F221" i="6"/>
  <c r="F220" i="6" s="1"/>
  <c r="F219" i="6" s="1"/>
  <c r="J219" i="6"/>
  <c r="M218" i="6"/>
  <c r="H217" i="6"/>
  <c r="H216" i="6" s="1"/>
  <c r="H215" i="6" s="1"/>
  <c r="L217" i="6"/>
  <c r="L216" i="6" s="1"/>
  <c r="L215" i="6" s="1"/>
  <c r="K217" i="6"/>
  <c r="K216" i="6" s="1"/>
  <c r="K215" i="6" s="1"/>
  <c r="I217" i="6"/>
  <c r="I216" i="6" s="1"/>
  <c r="I215" i="6" s="1"/>
  <c r="G217" i="6"/>
  <c r="G216" i="6" s="1"/>
  <c r="G215" i="6" s="1"/>
  <c r="F217" i="6"/>
  <c r="F216" i="6" s="1"/>
  <c r="F215" i="6" s="1"/>
  <c r="J215" i="6"/>
  <c r="M214" i="6"/>
  <c r="H214" i="6"/>
  <c r="N214" i="6" s="1"/>
  <c r="N213" i="6"/>
  <c r="G213" i="6"/>
  <c r="N208" i="6"/>
  <c r="M208" i="6"/>
  <c r="L208" i="6"/>
  <c r="L207" i="6" s="1"/>
  <c r="L206" i="6" s="1"/>
  <c r="K208" i="6"/>
  <c r="K207" i="6" s="1"/>
  <c r="K206" i="6" s="1"/>
  <c r="I208" i="6"/>
  <c r="H208" i="6"/>
  <c r="G208" i="6"/>
  <c r="F208" i="6"/>
  <c r="F207" i="6" s="1"/>
  <c r="F206" i="6" s="1"/>
  <c r="I207" i="6"/>
  <c r="I206" i="6" s="1"/>
  <c r="J206" i="6"/>
  <c r="N203" i="6"/>
  <c r="M203" i="6"/>
  <c r="L203" i="6"/>
  <c r="K203" i="6"/>
  <c r="I203" i="6"/>
  <c r="H203" i="6"/>
  <c r="G203" i="6"/>
  <c r="F203" i="6"/>
  <c r="N202" i="6"/>
  <c r="M202" i="6"/>
  <c r="L202" i="6"/>
  <c r="K202" i="6"/>
  <c r="I202" i="6"/>
  <c r="H202" i="6"/>
  <c r="G202" i="6"/>
  <c r="F202" i="6"/>
  <c r="N201" i="6"/>
  <c r="M201" i="6"/>
  <c r="L201" i="6"/>
  <c r="K201" i="6"/>
  <c r="I201" i="6"/>
  <c r="H201" i="6"/>
  <c r="G201" i="6"/>
  <c r="F201" i="6"/>
  <c r="M200" i="6"/>
  <c r="L200" i="6"/>
  <c r="K200" i="6"/>
  <c r="H200" i="6"/>
  <c r="M199" i="6"/>
  <c r="L199" i="6"/>
  <c r="K199" i="6"/>
  <c r="H199" i="6"/>
  <c r="M198" i="6"/>
  <c r="L198" i="6"/>
  <c r="K198" i="6"/>
  <c r="H198" i="6"/>
  <c r="M197" i="6"/>
  <c r="L197" i="6"/>
  <c r="J197" i="6"/>
  <c r="K197" i="6" s="1"/>
  <c r="G197" i="6"/>
  <c r="H197" i="6" s="1"/>
  <c r="I196" i="6"/>
  <c r="I195" i="6" s="1"/>
  <c r="F196" i="6"/>
  <c r="F195" i="6" s="1"/>
  <c r="J195" i="6"/>
  <c r="M194" i="6"/>
  <c r="N194" i="6" s="1"/>
  <c r="K194" i="6"/>
  <c r="H194" i="6"/>
  <c r="J193" i="6"/>
  <c r="M193" i="6" s="1"/>
  <c r="N193" i="6" s="1"/>
  <c r="H193" i="6"/>
  <c r="H192" i="6"/>
  <c r="H191" i="6"/>
  <c r="M189" i="6"/>
  <c r="L189" i="6"/>
  <c r="H189" i="6"/>
  <c r="N189" i="6" s="1"/>
  <c r="L188" i="6"/>
  <c r="G188" i="6"/>
  <c r="M188" i="6" s="1"/>
  <c r="F187" i="6"/>
  <c r="L187" i="6" s="1"/>
  <c r="M183" i="6"/>
  <c r="L183" i="6"/>
  <c r="H183" i="6"/>
  <c r="N183" i="6" s="1"/>
  <c r="L182" i="6"/>
  <c r="G182" i="6"/>
  <c r="M181" i="6"/>
  <c r="L181" i="6"/>
  <c r="N181" i="6" s="1"/>
  <c r="H181" i="6"/>
  <c r="M180" i="6"/>
  <c r="L180" i="6"/>
  <c r="N180" i="6" s="1"/>
  <c r="H180" i="6"/>
  <c r="M179" i="6"/>
  <c r="M178" i="6" s="1"/>
  <c r="H179" i="6"/>
  <c r="N179" i="6" s="1"/>
  <c r="N178" i="6" s="1"/>
  <c r="K178" i="6"/>
  <c r="K177" i="6" s="1"/>
  <c r="I178" i="6"/>
  <c r="I177" i="6" s="1"/>
  <c r="G178" i="6"/>
  <c r="F178" i="6"/>
  <c r="L179" i="6" s="1"/>
  <c r="L178" i="6" s="1"/>
  <c r="N175" i="6"/>
  <c r="M175" i="6"/>
  <c r="M174" i="6" s="1"/>
  <c r="L175" i="6"/>
  <c r="L174" i="6" s="1"/>
  <c r="K175" i="6"/>
  <c r="K174" i="6" s="1"/>
  <c r="I175" i="6"/>
  <c r="I174" i="6" s="1"/>
  <c r="H175" i="6"/>
  <c r="H174" i="6" s="1"/>
  <c r="G175" i="6"/>
  <c r="G174" i="6" s="1"/>
  <c r="F175" i="6"/>
  <c r="F174" i="6" s="1"/>
  <c r="N174" i="6"/>
  <c r="J173" i="6"/>
  <c r="N172" i="6"/>
  <c r="N171" i="6" s="1"/>
  <c r="M172" i="6"/>
  <c r="M171" i="6" s="1"/>
  <c r="L172" i="6"/>
  <c r="L171" i="6" s="1"/>
  <c r="K171" i="6"/>
  <c r="I171" i="6"/>
  <c r="H171" i="6"/>
  <c r="G171" i="6"/>
  <c r="F171" i="6"/>
  <c r="N169" i="6"/>
  <c r="M169" i="6"/>
  <c r="L169" i="6"/>
  <c r="K169" i="6"/>
  <c r="K168" i="6" s="1"/>
  <c r="K167" i="6" s="1"/>
  <c r="I169" i="6"/>
  <c r="I168" i="6" s="1"/>
  <c r="I167" i="6" s="1"/>
  <c r="H169" i="6"/>
  <c r="G169" i="6"/>
  <c r="F169" i="6"/>
  <c r="F168" i="6" s="1"/>
  <c r="F167" i="6" s="1"/>
  <c r="G168" i="6"/>
  <c r="G167" i="6" s="1"/>
  <c r="J167" i="6"/>
  <c r="M162" i="6"/>
  <c r="L162" i="6"/>
  <c r="K162" i="6"/>
  <c r="H162" i="6"/>
  <c r="J161" i="6"/>
  <c r="I161" i="6"/>
  <c r="K161" i="6" s="1"/>
  <c r="G161" i="6"/>
  <c r="F161" i="6"/>
  <c r="H161" i="6" s="1"/>
  <c r="M156" i="6"/>
  <c r="M155" i="6" s="1"/>
  <c r="L156" i="6"/>
  <c r="L155" i="6" s="1"/>
  <c r="H156" i="6"/>
  <c r="N156" i="6" s="1"/>
  <c r="N155" i="6" s="1"/>
  <c r="K155" i="6"/>
  <c r="I155" i="6"/>
  <c r="G155" i="6"/>
  <c r="F155" i="6"/>
  <c r="N153" i="6"/>
  <c r="M153" i="6"/>
  <c r="L153" i="6"/>
  <c r="K153" i="6"/>
  <c r="I153" i="6"/>
  <c r="H153" i="6"/>
  <c r="G153" i="6"/>
  <c r="F153" i="6"/>
  <c r="M152" i="6"/>
  <c r="L152" i="6"/>
  <c r="N152" i="6"/>
  <c r="M151" i="6"/>
  <c r="L151" i="6"/>
  <c r="N151" i="6"/>
  <c r="M150" i="6"/>
  <c r="M149" i="6" s="1"/>
  <c r="L150" i="6"/>
  <c r="L149" i="6" s="1"/>
  <c r="N150" i="6"/>
  <c r="N149" i="6" s="1"/>
  <c r="K149" i="6"/>
  <c r="I149" i="6"/>
  <c r="H149" i="6"/>
  <c r="G149" i="6"/>
  <c r="F149" i="6"/>
  <c r="N147" i="6"/>
  <c r="M147" i="6"/>
  <c r="L147" i="6"/>
  <c r="K147" i="6"/>
  <c r="I147" i="6"/>
  <c r="H147" i="6"/>
  <c r="G147" i="6"/>
  <c r="F147" i="6"/>
  <c r="M146" i="6"/>
  <c r="M145" i="6" s="1"/>
  <c r="L146" i="6"/>
  <c r="L145" i="6" s="1"/>
  <c r="K146" i="6"/>
  <c r="K145" i="6" s="1"/>
  <c r="H146" i="6"/>
  <c r="J145" i="6"/>
  <c r="I145" i="6"/>
  <c r="G145" i="6"/>
  <c r="F145" i="6"/>
  <c r="M144" i="6"/>
  <c r="M143" i="6" s="1"/>
  <c r="L144" i="6"/>
  <c r="L143" i="6" s="1"/>
  <c r="H144" i="6"/>
  <c r="N144" i="6" s="1"/>
  <c r="N143" i="6" s="1"/>
  <c r="K143" i="6"/>
  <c r="I143" i="6"/>
  <c r="G143" i="6"/>
  <c r="F143" i="6"/>
  <c r="M140" i="6"/>
  <c r="M139" i="6" s="1"/>
  <c r="K140" i="6"/>
  <c r="K139" i="6" s="1"/>
  <c r="I140" i="6"/>
  <c r="I139" i="6" s="1"/>
  <c r="H139" i="6"/>
  <c r="G139" i="6"/>
  <c r="F139" i="6"/>
  <c r="M138" i="6"/>
  <c r="K138" i="6"/>
  <c r="K137" i="6" s="1"/>
  <c r="I138" i="6"/>
  <c r="L138" i="6" s="1"/>
  <c r="L137" i="6" s="1"/>
  <c r="H138" i="6"/>
  <c r="M137" i="6"/>
  <c r="H137" i="6"/>
  <c r="G137" i="6"/>
  <c r="F137" i="6"/>
  <c r="N136" i="6"/>
  <c r="N135" i="6" s="1"/>
  <c r="L136" i="6"/>
  <c r="L135" i="6" s="1"/>
  <c r="M135" i="6"/>
  <c r="K135" i="6"/>
  <c r="I135" i="6"/>
  <c r="H135" i="6"/>
  <c r="G135" i="6"/>
  <c r="F135" i="6"/>
  <c r="M134" i="6"/>
  <c r="L134" i="6"/>
  <c r="H134" i="6"/>
  <c r="N134" i="6" s="1"/>
  <c r="M133" i="6"/>
  <c r="L133" i="6"/>
  <c r="K133" i="6"/>
  <c r="N133" i="6" s="1"/>
  <c r="H133" i="6"/>
  <c r="H132" i="6" s="1"/>
  <c r="J132" i="6"/>
  <c r="I132" i="6"/>
  <c r="G132" i="6"/>
  <c r="F132" i="6"/>
  <c r="J131" i="6"/>
  <c r="J130" i="6" s="1"/>
  <c r="M130" i="6"/>
  <c r="N129" i="6"/>
  <c r="N128" i="6" s="1"/>
  <c r="N127" i="6" s="1"/>
  <c r="N126" i="6" s="1"/>
  <c r="L129" i="6"/>
  <c r="L128" i="6" s="1"/>
  <c r="L127" i="6" s="1"/>
  <c r="L126" i="6" s="1"/>
  <c r="M128" i="6"/>
  <c r="M127" i="6" s="1"/>
  <c r="M126" i="6" s="1"/>
  <c r="K128" i="6"/>
  <c r="K127" i="6" s="1"/>
  <c r="K126" i="6" s="1"/>
  <c r="I128" i="6"/>
  <c r="I127" i="6" s="1"/>
  <c r="I126" i="6" s="1"/>
  <c r="H128" i="6"/>
  <c r="H127" i="6" s="1"/>
  <c r="H126" i="6" s="1"/>
  <c r="G128" i="6"/>
  <c r="G127" i="6" s="1"/>
  <c r="G126" i="6" s="1"/>
  <c r="F128" i="6"/>
  <c r="F127" i="6" s="1"/>
  <c r="F126" i="6" s="1"/>
  <c r="M124" i="6"/>
  <c r="L124" i="6"/>
  <c r="H124" i="6"/>
  <c r="N124" i="6" s="1"/>
  <c r="M123" i="6"/>
  <c r="L123" i="6"/>
  <c r="H123" i="6"/>
  <c r="N123" i="6" s="1"/>
  <c r="M122" i="6"/>
  <c r="H122" i="6"/>
  <c r="N122" i="6" s="1"/>
  <c r="L121" i="6"/>
  <c r="H121" i="6"/>
  <c r="N121" i="6" s="1"/>
  <c r="G121" i="6"/>
  <c r="M121" i="6" s="1"/>
  <c r="N119" i="6"/>
  <c r="N118" i="6" s="1"/>
  <c r="M119" i="6"/>
  <c r="M118" i="6" s="1"/>
  <c r="L119" i="6"/>
  <c r="L118" i="6" s="1"/>
  <c r="K119" i="6"/>
  <c r="K118" i="6" s="1"/>
  <c r="I119" i="6"/>
  <c r="I118" i="6" s="1"/>
  <c r="H119" i="6"/>
  <c r="H118" i="6" s="1"/>
  <c r="G119" i="6"/>
  <c r="G118" i="6" s="1"/>
  <c r="F119" i="6"/>
  <c r="F118" i="6" s="1"/>
  <c r="M117" i="6"/>
  <c r="L117" i="6"/>
  <c r="H117" i="6"/>
  <c r="N117" i="6" s="1"/>
  <c r="M116" i="6"/>
  <c r="L116" i="6"/>
  <c r="H116" i="6"/>
  <c r="N116" i="6" s="1"/>
  <c r="M115" i="6"/>
  <c r="F115" i="6"/>
  <c r="L115" i="6" s="1"/>
  <c r="M114" i="6"/>
  <c r="M112" i="6" s="1"/>
  <c r="M111" i="6" s="1"/>
  <c r="L114" i="6"/>
  <c r="L112" i="6" s="1"/>
  <c r="L111" i="6" s="1"/>
  <c r="H114" i="6"/>
  <c r="H112" i="6" s="1"/>
  <c r="H111" i="6" s="1"/>
  <c r="K112" i="6"/>
  <c r="I112" i="6"/>
  <c r="G112" i="6"/>
  <c r="G111" i="6" s="1"/>
  <c r="F112" i="6"/>
  <c r="K111" i="6"/>
  <c r="I111" i="6"/>
  <c r="F111" i="6"/>
  <c r="J110" i="6"/>
  <c r="L109" i="6"/>
  <c r="L108" i="6" s="1"/>
  <c r="L107" i="6" s="1"/>
  <c r="F109" i="6"/>
  <c r="F108" i="6" s="1"/>
  <c r="F107" i="6" s="1"/>
  <c r="N108" i="6"/>
  <c r="N107" i="6" s="1"/>
  <c r="M108" i="6"/>
  <c r="M107" i="6" s="1"/>
  <c r="K108" i="6"/>
  <c r="K107" i="6" s="1"/>
  <c r="I108" i="6"/>
  <c r="I107" i="6" s="1"/>
  <c r="H108" i="6"/>
  <c r="H107" i="6" s="1"/>
  <c r="G108" i="6"/>
  <c r="G107" i="6" s="1"/>
  <c r="N105" i="6"/>
  <c r="M105" i="6"/>
  <c r="L105" i="6"/>
  <c r="K105" i="6"/>
  <c r="I105" i="6"/>
  <c r="H105" i="6"/>
  <c r="G105" i="6"/>
  <c r="F105" i="6"/>
  <c r="M104" i="6"/>
  <c r="M103" i="6" s="1"/>
  <c r="L104" i="6"/>
  <c r="L103" i="6" s="1"/>
  <c r="K104" i="6"/>
  <c r="N104" i="6" s="1"/>
  <c r="N103" i="6" s="1"/>
  <c r="J103" i="6"/>
  <c r="I103" i="6"/>
  <c r="H103" i="6"/>
  <c r="G103" i="6"/>
  <c r="F103" i="6"/>
  <c r="M102" i="6"/>
  <c r="L102" i="6"/>
  <c r="K102" i="6"/>
  <c r="K100" i="6" s="1"/>
  <c r="H102" i="6"/>
  <c r="I100" i="6"/>
  <c r="I99" i="6" s="1"/>
  <c r="G100" i="6"/>
  <c r="F100" i="6"/>
  <c r="M97" i="6"/>
  <c r="L97" i="6"/>
  <c r="L96" i="6" s="1"/>
  <c r="K97" i="6"/>
  <c r="N97" i="6" s="1"/>
  <c r="N96" i="6" s="1"/>
  <c r="H97" i="6"/>
  <c r="H96" i="6" s="1"/>
  <c r="M96" i="6"/>
  <c r="J96" i="6"/>
  <c r="J89" i="6" s="1"/>
  <c r="J88" i="6" s="1"/>
  <c r="I96" i="6"/>
  <c r="G96" i="6"/>
  <c r="G89" i="6" s="1"/>
  <c r="G88" i="6" s="1"/>
  <c r="F96" i="6"/>
  <c r="M95" i="6"/>
  <c r="N95" i="6"/>
  <c r="M94" i="6"/>
  <c r="M93" i="6"/>
  <c r="L93" i="6"/>
  <c r="H93" i="6"/>
  <c r="N93" i="6" s="1"/>
  <c r="M92" i="6"/>
  <c r="I92" i="6"/>
  <c r="F92" i="6"/>
  <c r="H92" i="6" s="1"/>
  <c r="M91" i="6"/>
  <c r="L91" i="6"/>
  <c r="H91" i="6"/>
  <c r="N91" i="6" s="1"/>
  <c r="M90" i="6"/>
  <c r="L90" i="6"/>
  <c r="H90" i="6"/>
  <c r="N90" i="6" s="1"/>
  <c r="N85" i="6"/>
  <c r="M85" i="6"/>
  <c r="L85" i="6"/>
  <c r="K85" i="6"/>
  <c r="I85" i="6"/>
  <c r="I84" i="6" s="1"/>
  <c r="I83" i="6" s="1"/>
  <c r="H85" i="6"/>
  <c r="H84" i="6" s="1"/>
  <c r="H83" i="6" s="1"/>
  <c r="G85" i="6"/>
  <c r="G84" i="6" s="1"/>
  <c r="G83" i="6" s="1"/>
  <c r="F85" i="6"/>
  <c r="F84" i="6" s="1"/>
  <c r="F83" i="6" s="1"/>
  <c r="N84" i="6"/>
  <c r="N83" i="6" s="1"/>
  <c r="M84" i="6"/>
  <c r="M83" i="6" s="1"/>
  <c r="L84" i="6"/>
  <c r="L83" i="6" s="1"/>
  <c r="K84" i="6"/>
  <c r="K83" i="6" s="1"/>
  <c r="J83" i="6"/>
  <c r="N81" i="6"/>
  <c r="N80" i="6" s="1"/>
  <c r="M81" i="6"/>
  <c r="M80" i="6" s="1"/>
  <c r="L81" i="6"/>
  <c r="L80" i="6" s="1"/>
  <c r="K81" i="6"/>
  <c r="K80" i="6" s="1"/>
  <c r="I81" i="6"/>
  <c r="I80" i="6" s="1"/>
  <c r="H81" i="6"/>
  <c r="H80" i="6" s="1"/>
  <c r="G81" i="6"/>
  <c r="G80" i="6" s="1"/>
  <c r="F81" i="6"/>
  <c r="F80" i="6" s="1"/>
  <c r="N78" i="6"/>
  <c r="N77" i="6" s="1"/>
  <c r="M78" i="6"/>
  <c r="M77" i="6" s="1"/>
  <c r="L78" i="6"/>
  <c r="L77" i="6" s="1"/>
  <c r="K78" i="6"/>
  <c r="K77" i="6" s="1"/>
  <c r="I78" i="6"/>
  <c r="I77" i="6" s="1"/>
  <c r="H78" i="6"/>
  <c r="H77" i="6" s="1"/>
  <c r="G78" i="6"/>
  <c r="G77" i="6" s="1"/>
  <c r="F78" i="6"/>
  <c r="F77" i="6" s="1"/>
  <c r="J76" i="6"/>
  <c r="J75" i="6" s="1"/>
  <c r="N70" i="6"/>
  <c r="N69" i="6" s="1"/>
  <c r="L71" i="6"/>
  <c r="K71" i="6"/>
  <c r="I71" i="6"/>
  <c r="G70" i="6"/>
  <c r="G69" i="6" s="1"/>
  <c r="F71" i="6"/>
  <c r="M70" i="6"/>
  <c r="M69" i="6" s="1"/>
  <c r="L70" i="6"/>
  <c r="K70" i="6"/>
  <c r="K69" i="6" s="1"/>
  <c r="I70" i="6"/>
  <c r="I69" i="6" s="1"/>
  <c r="H70" i="6"/>
  <c r="H69" i="6" s="1"/>
  <c r="F70" i="6"/>
  <c r="F69" i="6" s="1"/>
  <c r="L69" i="6"/>
  <c r="J69" i="6"/>
  <c r="M67" i="6"/>
  <c r="L67" i="6"/>
  <c r="H67" i="6"/>
  <c r="N67" i="6" s="1"/>
  <c r="M66" i="6"/>
  <c r="L66" i="6"/>
  <c r="N66" i="6"/>
  <c r="K65" i="6"/>
  <c r="K64" i="6" s="1"/>
  <c r="I65" i="6"/>
  <c r="G65" i="6"/>
  <c r="G64" i="6" s="1"/>
  <c r="F65" i="6"/>
  <c r="F64" i="6" s="1"/>
  <c r="I64" i="6"/>
  <c r="N63" i="6"/>
  <c r="L63" i="6"/>
  <c r="N62" i="6"/>
  <c r="L62" i="6"/>
  <c r="N61" i="6"/>
  <c r="L61" i="6"/>
  <c r="N60" i="6"/>
  <c r="N59" i="6" s="1"/>
  <c r="L60" i="6"/>
  <c r="L59" i="6" s="1"/>
  <c r="M59" i="6"/>
  <c r="K59" i="6"/>
  <c r="I59" i="6"/>
  <c r="H59" i="6"/>
  <c r="G59" i="6"/>
  <c r="F59" i="6"/>
  <c r="M58" i="6"/>
  <c r="M57" i="6" s="1"/>
  <c r="L58" i="6"/>
  <c r="L57" i="6" s="1"/>
  <c r="H57" i="6"/>
  <c r="K57" i="6"/>
  <c r="I57" i="6"/>
  <c r="G57" i="6"/>
  <c r="F57" i="6"/>
  <c r="M56" i="6"/>
  <c r="L56" i="6"/>
  <c r="L55" i="6" s="1"/>
  <c r="K56" i="6"/>
  <c r="K55" i="6" s="1"/>
  <c r="H56" i="6"/>
  <c r="J55" i="6"/>
  <c r="J49" i="6" s="1"/>
  <c r="J48" i="6" s="1"/>
  <c r="I55" i="6"/>
  <c r="G55" i="6"/>
  <c r="F55" i="6"/>
  <c r="L53" i="6"/>
  <c r="H53" i="6"/>
  <c r="F53" i="6"/>
  <c r="M52" i="6"/>
  <c r="L52" i="6"/>
  <c r="H52" i="6"/>
  <c r="N52" i="6" s="1"/>
  <c r="N50" i="6" s="1"/>
  <c r="L51" i="6"/>
  <c r="H51" i="6"/>
  <c r="F51" i="6"/>
  <c r="M50" i="6"/>
  <c r="K50" i="6"/>
  <c r="I50" i="6"/>
  <c r="G50" i="6"/>
  <c r="G49" i="6" s="1"/>
  <c r="N46" i="6"/>
  <c r="M46" i="6"/>
  <c r="L46" i="6"/>
  <c r="K46" i="6"/>
  <c r="I46" i="6"/>
  <c r="H46" i="6"/>
  <c r="G46" i="6"/>
  <c r="F46" i="6"/>
  <c r="N44" i="6"/>
  <c r="M44" i="6"/>
  <c r="L44" i="6"/>
  <c r="K44" i="6"/>
  <c r="I44" i="6"/>
  <c r="H44" i="6"/>
  <c r="G44" i="6"/>
  <c r="F44" i="6"/>
  <c r="M43" i="6"/>
  <c r="M42" i="6" s="1"/>
  <c r="M41" i="6" s="1"/>
  <c r="M40" i="6" s="1"/>
  <c r="L43" i="6"/>
  <c r="N43" i="6" s="1"/>
  <c r="N42" i="6" s="1"/>
  <c r="H43" i="6"/>
  <c r="K42" i="6"/>
  <c r="I42" i="6"/>
  <c r="H42" i="6"/>
  <c r="H41" i="6" s="1"/>
  <c r="H40" i="6" s="1"/>
  <c r="G42" i="6"/>
  <c r="F42" i="6"/>
  <c r="I41" i="6"/>
  <c r="I40" i="6" s="1"/>
  <c r="N36" i="6"/>
  <c r="M36" i="6"/>
  <c r="L36" i="6"/>
  <c r="K36" i="6"/>
  <c r="K35" i="6" s="1"/>
  <c r="K34" i="6" s="1"/>
  <c r="I36" i="6"/>
  <c r="I35" i="6" s="1"/>
  <c r="I34" i="6" s="1"/>
  <c r="H36" i="6"/>
  <c r="G36" i="6"/>
  <c r="G35" i="6" s="1"/>
  <c r="G34" i="6" s="1"/>
  <c r="F36" i="6"/>
  <c r="F35" i="6" s="1"/>
  <c r="F34" i="6" s="1"/>
  <c r="N35" i="6"/>
  <c r="M35" i="6"/>
  <c r="M34" i="6" s="1"/>
  <c r="L35" i="6"/>
  <c r="L34" i="6" s="1"/>
  <c r="H35" i="6"/>
  <c r="H34" i="6" s="1"/>
  <c r="N34" i="6"/>
  <c r="J34" i="6"/>
  <c r="M33" i="6"/>
  <c r="L33" i="6"/>
  <c r="K33" i="6"/>
  <c r="N33" i="6" s="1"/>
  <c r="J32" i="6"/>
  <c r="I32" i="6"/>
  <c r="L32" i="6" s="1"/>
  <c r="M31" i="6"/>
  <c r="M30" i="6" s="1"/>
  <c r="L31" i="6"/>
  <c r="L30" i="6" s="1"/>
  <c r="H31" i="6"/>
  <c r="N31" i="6" s="1"/>
  <c r="N30" i="6" s="1"/>
  <c r="K30" i="6"/>
  <c r="I30" i="6"/>
  <c r="G30" i="6"/>
  <c r="F30" i="6"/>
  <c r="M28" i="6"/>
  <c r="L28" i="6"/>
  <c r="K28" i="6"/>
  <c r="K26" i="6" s="1"/>
  <c r="H28" i="6"/>
  <c r="N28" i="6" s="1"/>
  <c r="M27" i="6"/>
  <c r="M26" i="6" s="1"/>
  <c r="L27" i="6"/>
  <c r="N27" i="6"/>
  <c r="J26" i="6"/>
  <c r="I26" i="6"/>
  <c r="G26" i="6"/>
  <c r="F26" i="6"/>
  <c r="J25" i="6"/>
  <c r="J18" i="6" s="1"/>
  <c r="N23" i="6"/>
  <c r="N19" i="6" s="1"/>
  <c r="M23" i="6"/>
  <c r="M19" i="6" s="1"/>
  <c r="L23" i="6"/>
  <c r="K23" i="6"/>
  <c r="I23" i="6"/>
  <c r="H23" i="6"/>
  <c r="H19" i="6" s="1"/>
  <c r="G23" i="6"/>
  <c r="G19" i="6" s="1"/>
  <c r="F23" i="6"/>
  <c r="L20" i="6"/>
  <c r="K20" i="6"/>
  <c r="I20" i="6"/>
  <c r="I19" i="6" s="1"/>
  <c r="F20" i="6"/>
  <c r="F19" i="6" s="1"/>
  <c r="L380" i="6" l="1"/>
  <c r="K236" i="6"/>
  <c r="G271" i="6"/>
  <c r="G306" i="6"/>
  <c r="G305" i="6" s="1"/>
  <c r="G304" i="6" s="1"/>
  <c r="K19" i="6"/>
  <c r="G25" i="6"/>
  <c r="N41" i="6"/>
  <c r="N40" i="6" s="1"/>
  <c r="F271" i="6"/>
  <c r="M313" i="6"/>
  <c r="N313" i="6" s="1"/>
  <c r="I340" i="6"/>
  <c r="N138" i="6"/>
  <c r="N137" i="6" s="1"/>
  <c r="L323" i="6"/>
  <c r="L322" i="6" s="1"/>
  <c r="L321" i="6" s="1"/>
  <c r="L320" i="6" s="1"/>
  <c r="K340" i="6"/>
  <c r="G41" i="6"/>
  <c r="G40" i="6" s="1"/>
  <c r="L327" i="6"/>
  <c r="H340" i="6"/>
  <c r="L340" i="6"/>
  <c r="I137" i="6"/>
  <c r="H50" i="6"/>
  <c r="H49" i="6" s="1"/>
  <c r="K369" i="6"/>
  <c r="K368" i="6" s="1"/>
  <c r="H369" i="6"/>
  <c r="H368" i="6" s="1"/>
  <c r="F110" i="6"/>
  <c r="H115" i="6"/>
  <c r="N115" i="6" s="1"/>
  <c r="G131" i="6"/>
  <c r="G130" i="6" s="1"/>
  <c r="I142" i="6"/>
  <c r="I141" i="6" s="1"/>
  <c r="F306" i="6"/>
  <c r="F305" i="6" s="1"/>
  <c r="F304" i="6" s="1"/>
  <c r="L316" i="6"/>
  <c r="L315" i="6"/>
  <c r="N146" i="6"/>
  <c r="N145" i="6" s="1"/>
  <c r="N161" i="6"/>
  <c r="L19" i="6"/>
  <c r="F50" i="6"/>
  <c r="F49" i="6" s="1"/>
  <c r="F48" i="6" s="1"/>
  <c r="H65" i="6"/>
  <c r="H64" i="6" s="1"/>
  <c r="I25" i="6"/>
  <c r="I18" i="6" s="1"/>
  <c r="F25" i="6"/>
  <c r="F18" i="6" s="1"/>
  <c r="K96" i="6"/>
  <c r="K89" i="6" s="1"/>
  <c r="K88" i="6" s="1"/>
  <c r="I131" i="6"/>
  <c r="I130" i="6" s="1"/>
  <c r="N200" i="6"/>
  <c r="J234" i="6"/>
  <c r="I236" i="6"/>
  <c r="I235" i="6" s="1"/>
  <c r="F340" i="6"/>
  <c r="G369" i="6"/>
  <c r="G368" i="6" s="1"/>
  <c r="K380" i="6"/>
  <c r="K374" i="6" s="1"/>
  <c r="K363" i="6" s="1"/>
  <c r="L168" i="6"/>
  <c r="L167" i="6" s="1"/>
  <c r="L42" i="6"/>
  <c r="L41" i="6" s="1"/>
  <c r="L40" i="6" s="1"/>
  <c r="N56" i="6"/>
  <c r="N55" i="6" s="1"/>
  <c r="L132" i="6"/>
  <c r="M132" i="6"/>
  <c r="L195" i="6"/>
  <c r="N197" i="6"/>
  <c r="J320" i="6"/>
  <c r="I374" i="6"/>
  <c r="I306" i="6"/>
  <c r="I305" i="6" s="1"/>
  <c r="I304" i="6" s="1"/>
  <c r="M25" i="6"/>
  <c r="M18" i="6" s="1"/>
  <c r="F41" i="6"/>
  <c r="F40" i="6" s="1"/>
  <c r="F39" i="6" s="1"/>
  <c r="K41" i="6"/>
  <c r="K40" i="6" s="1"/>
  <c r="H55" i="6"/>
  <c r="N102" i="6"/>
  <c r="H168" i="6"/>
  <c r="H167" i="6" s="1"/>
  <c r="H221" i="6"/>
  <c r="H220" i="6" s="1"/>
  <c r="H219" i="6" s="1"/>
  <c r="N222" i="6"/>
  <c r="N221" i="6" s="1"/>
  <c r="I282" i="6"/>
  <c r="I49" i="6"/>
  <c r="I48" i="6" s="1"/>
  <c r="I39" i="6" s="1"/>
  <c r="F89" i="6"/>
  <c r="F88" i="6" s="1"/>
  <c r="M168" i="6"/>
  <c r="M167" i="6" s="1"/>
  <c r="G187" i="6"/>
  <c r="H187" i="6" s="1"/>
  <c r="N187" i="6" s="1"/>
  <c r="H357" i="6"/>
  <c r="H356" i="6" s="1"/>
  <c r="N168" i="6"/>
  <c r="N167" i="6" s="1"/>
  <c r="M307" i="6"/>
  <c r="M306" i="6" s="1"/>
  <c r="M305" i="6" s="1"/>
  <c r="M304" i="6" s="1"/>
  <c r="K310" i="6"/>
  <c r="I327" i="6"/>
  <c r="I321" i="6" s="1"/>
  <c r="I320" i="6" s="1"/>
  <c r="G335" i="6"/>
  <c r="G334" i="6" s="1"/>
  <c r="I89" i="6"/>
  <c r="L177" i="6"/>
  <c r="L173" i="6" s="1"/>
  <c r="H188" i="6"/>
  <c r="N188" i="6" s="1"/>
  <c r="H262" i="6"/>
  <c r="H261" i="6" s="1"/>
  <c r="N281" i="6"/>
  <c r="M323" i="6"/>
  <c r="M322" i="6" s="1"/>
  <c r="F335" i="6"/>
  <c r="F334" i="6" s="1"/>
  <c r="N317" i="6"/>
  <c r="L76" i="6"/>
  <c r="K282" i="6"/>
  <c r="F282" i="6"/>
  <c r="L271" i="6"/>
  <c r="F225" i="6"/>
  <c r="K271" i="6"/>
  <c r="N271" i="6"/>
  <c r="I271" i="6"/>
  <c r="K225" i="6"/>
  <c r="K235" i="6"/>
  <c r="M271" i="6"/>
  <c r="I225" i="6"/>
  <c r="H271" i="6"/>
  <c r="N235" i="6"/>
  <c r="J39" i="6"/>
  <c r="I76" i="6"/>
  <c r="I75" i="6" s="1"/>
  <c r="M225" i="6"/>
  <c r="L282" i="6"/>
  <c r="G220" i="6"/>
  <c r="G219" i="6" s="1"/>
  <c r="L237" i="6"/>
  <c r="M282" i="6"/>
  <c r="K76" i="6"/>
  <c r="K75" i="6" s="1"/>
  <c r="K173" i="6"/>
  <c r="L225" i="6"/>
  <c r="N323" i="6"/>
  <c r="N322" i="6" s="1"/>
  <c r="G340" i="6"/>
  <c r="M220" i="6"/>
  <c r="M219" i="6" s="1"/>
  <c r="N220" i="6"/>
  <c r="N219" i="6" s="1"/>
  <c r="N225" i="6"/>
  <c r="H225" i="6"/>
  <c r="H76" i="6"/>
  <c r="H75" i="6" s="1"/>
  <c r="F76" i="6"/>
  <c r="F75" i="6" s="1"/>
  <c r="G110" i="6"/>
  <c r="I173" i="6"/>
  <c r="N198" i="6"/>
  <c r="M76" i="6"/>
  <c r="M75" i="6" s="1"/>
  <c r="L65" i="6"/>
  <c r="L64" i="6" s="1"/>
  <c r="N76" i="6"/>
  <c r="N75" i="6" s="1"/>
  <c r="L110" i="6"/>
  <c r="G76" i="6"/>
  <c r="G75" i="6" s="1"/>
  <c r="M65" i="6"/>
  <c r="M64" i="6" s="1"/>
  <c r="G48" i="6"/>
  <c r="G39" i="6" s="1"/>
  <c r="H282" i="6"/>
  <c r="H178" i="6"/>
  <c r="H155" i="6"/>
  <c r="H89" i="6"/>
  <c r="G18" i="6"/>
  <c r="G99" i="6"/>
  <c r="G98" i="6" s="1"/>
  <c r="M100" i="6"/>
  <c r="M99" i="6" s="1"/>
  <c r="M98" i="6" s="1"/>
  <c r="I110" i="6"/>
  <c r="N114" i="6"/>
  <c r="N112" i="6" s="1"/>
  <c r="N111" i="6" s="1"/>
  <c r="N110" i="6" s="1"/>
  <c r="H182" i="6"/>
  <c r="G196" i="6"/>
  <c r="L26" i="6"/>
  <c r="L25" i="6" s="1"/>
  <c r="M55" i="6"/>
  <c r="M49" i="6" s="1"/>
  <c r="I98" i="6"/>
  <c r="K142" i="6"/>
  <c r="K141" i="6" s="1"/>
  <c r="F262" i="6"/>
  <c r="F261" i="6" s="1"/>
  <c r="K262" i="6"/>
  <c r="K261" i="6" s="1"/>
  <c r="L307" i="6"/>
  <c r="L306" i="6" s="1"/>
  <c r="L305" i="6" s="1"/>
  <c r="H323" i="6"/>
  <c r="H322" i="6" s="1"/>
  <c r="K327" i="6"/>
  <c r="K321" i="6" s="1"/>
  <c r="L50" i="6"/>
  <c r="L49" i="6" s="1"/>
  <c r="L75" i="6"/>
  <c r="J100" i="6"/>
  <c r="J99" i="6" s="1"/>
  <c r="J98" i="6" s="1"/>
  <c r="J87" i="6" s="1"/>
  <c r="K103" i="6"/>
  <c r="K99" i="6" s="1"/>
  <c r="K98" i="6" s="1"/>
  <c r="K110" i="6"/>
  <c r="L140" i="6"/>
  <c r="L139" i="6" s="1"/>
  <c r="L196" i="6"/>
  <c r="K335" i="6"/>
  <c r="K334" i="6" s="1"/>
  <c r="H335" i="6"/>
  <c r="H334" i="6" s="1"/>
  <c r="N359" i="6"/>
  <c r="N358" i="6" s="1"/>
  <c r="N357" i="6" s="1"/>
  <c r="N356" i="6" s="1"/>
  <c r="N369" i="6"/>
  <c r="N368" i="6" s="1"/>
  <c r="F374" i="6"/>
  <c r="M394" i="6"/>
  <c r="L92" i="6"/>
  <c r="L89" i="6" s="1"/>
  <c r="L88" i="6" s="1"/>
  <c r="F99" i="6"/>
  <c r="F98" i="6" s="1"/>
  <c r="N140" i="6"/>
  <c r="N139" i="6" s="1"/>
  <c r="J190" i="6"/>
  <c r="G225" i="6"/>
  <c r="F236" i="6"/>
  <c r="F235" i="6" s="1"/>
  <c r="N242" i="6"/>
  <c r="N241" i="6" s="1"/>
  <c r="J363" i="6"/>
  <c r="N92" i="6"/>
  <c r="N89" i="6" s="1"/>
  <c r="N88" i="6" s="1"/>
  <c r="I88" i="6"/>
  <c r="G142" i="6"/>
  <c r="M142" i="6" s="1"/>
  <c r="M141" i="6" s="1"/>
  <c r="H395" i="6"/>
  <c r="N395" i="6" s="1"/>
  <c r="F327" i="6"/>
  <c r="F321" i="6" s="1"/>
  <c r="H315" i="6"/>
  <c r="M316" i="6"/>
  <c r="L235" i="6"/>
  <c r="F190" i="6"/>
  <c r="H145" i="6"/>
  <c r="F142" i="6"/>
  <c r="F141" i="6" s="1"/>
  <c r="F131" i="6"/>
  <c r="F130" i="6" s="1"/>
  <c r="H131" i="6"/>
  <c r="H130" i="6" s="1"/>
  <c r="L100" i="6"/>
  <c r="L99" i="6" s="1"/>
  <c r="L98" i="6" s="1"/>
  <c r="H88" i="6"/>
  <c r="M89" i="6"/>
  <c r="M88" i="6" s="1"/>
  <c r="N58" i="6"/>
  <c r="N57" i="6" s="1"/>
  <c r="N49" i="6" s="1"/>
  <c r="H26" i="6"/>
  <c r="N65" i="6"/>
  <c r="N64" i="6" s="1"/>
  <c r="N132" i="6"/>
  <c r="N26" i="6"/>
  <c r="N25" i="6" s="1"/>
  <c r="N18" i="6" s="1"/>
  <c r="N100" i="6"/>
  <c r="N99" i="6" s="1"/>
  <c r="N98" i="6" s="1"/>
  <c r="M110" i="6"/>
  <c r="H30" i="6"/>
  <c r="K32" i="6"/>
  <c r="N32" i="6" s="1"/>
  <c r="K132" i="6"/>
  <c r="K131" i="6" s="1"/>
  <c r="K130" i="6" s="1"/>
  <c r="H143" i="6"/>
  <c r="N162" i="6"/>
  <c r="F177" i="6"/>
  <c r="F173" i="6" s="1"/>
  <c r="M187" i="6"/>
  <c r="I190" i="6"/>
  <c r="N217" i="6"/>
  <c r="N216" i="6" s="1"/>
  <c r="N215" i="6" s="1"/>
  <c r="M217" i="6"/>
  <c r="M216" i="6" s="1"/>
  <c r="M215" i="6" s="1"/>
  <c r="J142" i="6"/>
  <c r="J125" i="6" s="1"/>
  <c r="M161" i="6"/>
  <c r="G195" i="6"/>
  <c r="H195" i="6" s="1"/>
  <c r="M196" i="6"/>
  <c r="M195" i="6" s="1"/>
  <c r="N195" i="6" s="1"/>
  <c r="H196" i="6"/>
  <c r="N199" i="6"/>
  <c r="K196" i="6"/>
  <c r="K195" i="6" s="1"/>
  <c r="K190" i="6" s="1"/>
  <c r="M213" i="6"/>
  <c r="G207" i="6"/>
  <c r="H306" i="6"/>
  <c r="H305" i="6" s="1"/>
  <c r="N308" i="6"/>
  <c r="N307" i="6" s="1"/>
  <c r="N306" i="6" s="1"/>
  <c r="N305" i="6" s="1"/>
  <c r="N342" i="6"/>
  <c r="N341" i="6" s="1"/>
  <c r="N340" i="6" s="1"/>
  <c r="M342" i="6"/>
  <c r="M341" i="6" s="1"/>
  <c r="M340" i="6" s="1"/>
  <c r="H100" i="6"/>
  <c r="H99" i="6" s="1"/>
  <c r="H98" i="6" s="1"/>
  <c r="L161" i="6"/>
  <c r="L142" i="6" s="1"/>
  <c r="L141" i="6" s="1"/>
  <c r="K193" i="6"/>
  <c r="J192" i="6"/>
  <c r="M237" i="6"/>
  <c r="M236" i="6" s="1"/>
  <c r="M235" i="6" s="1"/>
  <c r="G236" i="6"/>
  <c r="G235" i="6" s="1"/>
  <c r="G234" i="6" s="1"/>
  <c r="N239" i="6"/>
  <c r="N237" i="6" s="1"/>
  <c r="H237" i="6"/>
  <c r="H236" i="6" s="1"/>
  <c r="H235" i="6" s="1"/>
  <c r="H234" i="6" s="1"/>
  <c r="K306" i="6"/>
  <c r="K305" i="6" s="1"/>
  <c r="K304" i="6" s="1"/>
  <c r="F356" i="6"/>
  <c r="L357" i="6"/>
  <c r="L356" i="6" s="1"/>
  <c r="F369" i="6"/>
  <c r="F368" i="6" s="1"/>
  <c r="N389" i="6"/>
  <c r="M387" i="6"/>
  <c r="M386" i="6" s="1"/>
  <c r="M374" i="6" s="1"/>
  <c r="G177" i="6"/>
  <c r="M182" i="6"/>
  <c r="M177" i="6" s="1"/>
  <c r="M357" i="6"/>
  <c r="M356" i="6" s="1"/>
  <c r="G356" i="6"/>
  <c r="J282" i="6"/>
  <c r="N282" i="6"/>
  <c r="I369" i="6"/>
  <c r="I368" i="6" s="1"/>
  <c r="L387" i="6"/>
  <c r="L386" i="6" s="1"/>
  <c r="L374" i="6" s="1"/>
  <c r="H387" i="6"/>
  <c r="G282" i="6"/>
  <c r="M331" i="6"/>
  <c r="M327" i="6" s="1"/>
  <c r="M321" i="6" s="1"/>
  <c r="N354" i="6"/>
  <c r="N353" i="6" s="1"/>
  <c r="N352" i="6" s="1"/>
  <c r="M354" i="6"/>
  <c r="M353" i="6" s="1"/>
  <c r="M352" i="6" s="1"/>
  <c r="L369" i="6"/>
  <c r="L368" i="6" s="1"/>
  <c r="N377" i="6"/>
  <c r="N376" i="6" s="1"/>
  <c r="N375" i="6" s="1"/>
  <c r="H331" i="6"/>
  <c r="G331" i="6"/>
  <c r="G374" i="6"/>
  <c r="G363" i="6" s="1"/>
  <c r="N138" i="5"/>
  <c r="M138" i="5"/>
  <c r="G129" i="5"/>
  <c r="H132" i="5"/>
  <c r="H138" i="5"/>
  <c r="G327" i="6" l="1"/>
  <c r="G321" i="6" s="1"/>
  <c r="G320" i="6" s="1"/>
  <c r="L304" i="6"/>
  <c r="F363" i="6"/>
  <c r="L18" i="6"/>
  <c r="H110" i="6"/>
  <c r="H87" i="6" s="1"/>
  <c r="N234" i="6"/>
  <c r="L131" i="6"/>
  <c r="L130" i="6" s="1"/>
  <c r="L125" i="6" s="1"/>
  <c r="F234" i="6"/>
  <c r="N142" i="6"/>
  <c r="N141" i="6" s="1"/>
  <c r="K125" i="6"/>
  <c r="H48" i="6"/>
  <c r="H39" i="6" s="1"/>
  <c r="I363" i="6"/>
  <c r="H304" i="6"/>
  <c r="F320" i="6"/>
  <c r="I125" i="6"/>
  <c r="K234" i="6"/>
  <c r="H142" i="6"/>
  <c r="H141" i="6" s="1"/>
  <c r="F87" i="6"/>
  <c r="L234" i="6"/>
  <c r="N196" i="6"/>
  <c r="K49" i="6"/>
  <c r="K48" i="6" s="1"/>
  <c r="K39" i="6" s="1"/>
  <c r="L363" i="6"/>
  <c r="H25" i="6"/>
  <c r="H18" i="6" s="1"/>
  <c r="I234" i="6"/>
  <c r="M125" i="6"/>
  <c r="M234" i="6"/>
  <c r="I87" i="6"/>
  <c r="L48" i="6"/>
  <c r="L39" i="6" s="1"/>
  <c r="N87" i="6"/>
  <c r="G87" i="6"/>
  <c r="M48" i="6"/>
  <c r="M39" i="6" s="1"/>
  <c r="M363" i="6"/>
  <c r="K87" i="6"/>
  <c r="G141" i="6"/>
  <c r="H177" i="6"/>
  <c r="N182" i="6"/>
  <c r="N177" i="6" s="1"/>
  <c r="N48" i="6"/>
  <c r="N39" i="6" s="1"/>
  <c r="K320" i="6"/>
  <c r="J17" i="6"/>
  <c r="J16" i="6" s="1"/>
  <c r="N131" i="6"/>
  <c r="N130" i="6" s="1"/>
  <c r="M87" i="6"/>
  <c r="N316" i="6"/>
  <c r="N315" i="6"/>
  <c r="N304" i="6" s="1"/>
  <c r="L190" i="6"/>
  <c r="F125" i="6"/>
  <c r="L87" i="6"/>
  <c r="H327" i="6"/>
  <c r="H321" i="6" s="1"/>
  <c r="H320" i="6" s="1"/>
  <c r="N331" i="6"/>
  <c r="N327" i="6" s="1"/>
  <c r="N321" i="6" s="1"/>
  <c r="N320" i="6" s="1"/>
  <c r="M192" i="6"/>
  <c r="N192" i="6" s="1"/>
  <c r="K192" i="6"/>
  <c r="J191" i="6"/>
  <c r="N387" i="6"/>
  <c r="N386" i="6" s="1"/>
  <c r="N374" i="6" s="1"/>
  <c r="N363" i="6" s="1"/>
  <c r="H386" i="6"/>
  <c r="H374" i="6" s="1"/>
  <c r="H363" i="6" s="1"/>
  <c r="G206" i="6"/>
  <c r="M207" i="6"/>
  <c r="K25" i="6"/>
  <c r="K18" i="6" s="1"/>
  <c r="H206" i="6"/>
  <c r="H190" i="6" s="1"/>
  <c r="N190" i="6" s="1"/>
  <c r="M320" i="6"/>
  <c r="G312" i="5"/>
  <c r="I17" i="6" l="1"/>
  <c r="I16" i="6" s="1"/>
  <c r="G125" i="6"/>
  <c r="F17" i="6"/>
  <c r="F16" i="6" s="1"/>
  <c r="H125" i="6"/>
  <c r="H17" i="6" s="1"/>
  <c r="H16" i="6" s="1"/>
  <c r="N125" i="6"/>
  <c r="N17" i="6" s="1"/>
  <c r="N16" i="6" s="1"/>
  <c r="K17" i="6"/>
  <c r="K16" i="6" s="1"/>
  <c r="G190" i="6"/>
  <c r="M190" i="6" s="1"/>
  <c r="M17" i="6" s="1"/>
  <c r="M16" i="6" s="1"/>
  <c r="L17" i="6"/>
  <c r="L16" i="6" s="1"/>
  <c r="N206" i="6"/>
  <c r="M206" i="6"/>
  <c r="K191" i="6"/>
  <c r="N191" i="6" s="1"/>
  <c r="M191" i="6"/>
  <c r="N92" i="5"/>
  <c r="M92" i="5"/>
  <c r="N93" i="5"/>
  <c r="M93" i="5"/>
  <c r="N298" i="5"/>
  <c r="M298" i="5"/>
  <c r="H298" i="5"/>
  <c r="G17" i="6" l="1"/>
  <c r="G16" i="6" s="1"/>
  <c r="M221" i="5"/>
  <c r="N57" i="5" l="1"/>
  <c r="H57" i="5"/>
  <c r="H154" i="5"/>
  <c r="N297" i="5"/>
  <c r="M297" i="5"/>
  <c r="M299" i="5"/>
  <c r="N299" i="5" s="1"/>
  <c r="H297" i="5"/>
  <c r="H299" i="5"/>
  <c r="H142" i="5" l="1"/>
  <c r="H221" i="5"/>
  <c r="G221" i="5"/>
  <c r="H222" i="5"/>
  <c r="G222" i="5"/>
  <c r="H224" i="5"/>
  <c r="N313" i="5" l="1"/>
  <c r="M313" i="5"/>
  <c r="G311" i="5"/>
  <c r="H313" i="5"/>
  <c r="H90" i="5"/>
  <c r="H91" i="5"/>
  <c r="H92" i="5"/>
  <c r="H93" i="5"/>
  <c r="H304" i="5" l="1"/>
  <c r="H99" i="5" l="1"/>
  <c r="N335" i="5" l="1"/>
  <c r="M335" i="5"/>
  <c r="H335" i="5"/>
  <c r="N340" i="5" l="1"/>
  <c r="M340" i="5"/>
  <c r="H340" i="5"/>
  <c r="G338" i="5"/>
  <c r="G339" i="5"/>
  <c r="H27" i="5"/>
  <c r="N200" i="5" l="1"/>
  <c r="M201" i="5"/>
  <c r="H201" i="5"/>
  <c r="N201" i="5" s="1"/>
  <c r="G200" i="5"/>
  <c r="M200" i="5" s="1"/>
  <c r="G194" i="5" l="1"/>
  <c r="H369" i="5"/>
  <c r="M194" i="5" l="1"/>
  <c r="N194" i="5" s="1"/>
  <c r="H194" i="5"/>
  <c r="H144" i="5"/>
  <c r="H339" i="5" l="1"/>
  <c r="H312" i="5"/>
  <c r="H357" i="5"/>
  <c r="L182" i="5" l="1"/>
  <c r="L183" i="5"/>
  <c r="G229" i="5" l="1"/>
  <c r="M229" i="5" s="1"/>
  <c r="H227" i="5"/>
  <c r="M222" i="5"/>
  <c r="N228" i="5"/>
  <c r="M228" i="5"/>
  <c r="H228" i="5"/>
  <c r="G228" i="5"/>
  <c r="H229" i="5" l="1"/>
  <c r="N229" i="5" s="1"/>
  <c r="N205" i="5"/>
  <c r="M205" i="5"/>
  <c r="H205" i="5"/>
  <c r="N323" i="5"/>
  <c r="H323" i="5"/>
  <c r="M323" i="5"/>
  <c r="K140" i="5" l="1"/>
  <c r="I140" i="5"/>
  <c r="F290" i="5"/>
  <c r="F286" i="5" s="1"/>
  <c r="F285" i="5" s="1"/>
  <c r="F284" i="5" s="1"/>
  <c r="F140" i="5"/>
  <c r="F182" i="5"/>
  <c r="K291" i="5"/>
  <c r="I56" i="5"/>
  <c r="H367" i="5"/>
  <c r="L357" i="5"/>
  <c r="N339" i="5"/>
  <c r="L339" i="5"/>
  <c r="N317" i="5"/>
  <c r="L317" i="5"/>
  <c r="F183" i="5"/>
  <c r="L186" i="5"/>
  <c r="L187" i="5"/>
  <c r="K186" i="5"/>
  <c r="K187" i="5"/>
  <c r="I182" i="5"/>
  <c r="I183" i="5"/>
  <c r="H186" i="5"/>
  <c r="H187" i="5"/>
  <c r="L155" i="5"/>
  <c r="L156" i="5"/>
  <c r="K155" i="5"/>
  <c r="K156" i="5"/>
  <c r="I155" i="5"/>
  <c r="H155" i="5"/>
  <c r="H156" i="5"/>
  <c r="F155" i="5"/>
  <c r="N121" i="5"/>
  <c r="H121" i="5"/>
  <c r="L121" i="5"/>
  <c r="N90" i="5"/>
  <c r="L90" i="5"/>
  <c r="L91" i="5"/>
  <c r="I90" i="5"/>
  <c r="F90" i="5"/>
  <c r="F54" i="5"/>
  <c r="L376" i="5"/>
  <c r="M376" i="5"/>
  <c r="L375" i="5"/>
  <c r="L374" i="5"/>
  <c r="G374" i="5"/>
  <c r="H374" i="5" s="1"/>
  <c r="N374" i="5" s="1"/>
  <c r="I372" i="5"/>
  <c r="I371" i="5" s="1"/>
  <c r="I370" i="5" s="1"/>
  <c r="N371" i="5"/>
  <c r="F371" i="5"/>
  <c r="F370" i="5" s="1"/>
  <c r="N370" i="5"/>
  <c r="M369" i="5"/>
  <c r="N369" i="5" s="1"/>
  <c r="L368" i="5"/>
  <c r="H368" i="5"/>
  <c r="N368" i="5" s="1"/>
  <c r="K367" i="5"/>
  <c r="I367" i="5"/>
  <c r="G367" i="5"/>
  <c r="G366" i="5" s="1"/>
  <c r="F367" i="5"/>
  <c r="L367" i="5" s="1"/>
  <c r="L366" i="5" s="1"/>
  <c r="K366" i="5"/>
  <c r="J366" i="5"/>
  <c r="I366" i="5"/>
  <c r="N364" i="5"/>
  <c r="M364" i="5"/>
  <c r="L364" i="5"/>
  <c r="K364" i="5"/>
  <c r="I364" i="5"/>
  <c r="H364" i="5"/>
  <c r="G364" i="5"/>
  <c r="F364" i="5"/>
  <c r="N361" i="5"/>
  <c r="L361" i="5"/>
  <c r="K361" i="5"/>
  <c r="K360" i="5" s="1"/>
  <c r="I361" i="5"/>
  <c r="N360" i="5"/>
  <c r="M360" i="5"/>
  <c r="L360" i="5"/>
  <c r="I360" i="5"/>
  <c r="H360" i="5"/>
  <c r="G360" i="5"/>
  <c r="F360" i="5"/>
  <c r="M357" i="5"/>
  <c r="M356" i="5" s="1"/>
  <c r="M355" i="5" s="1"/>
  <c r="H356" i="5"/>
  <c r="H355" i="5" s="1"/>
  <c r="L356" i="5"/>
  <c r="K356" i="5"/>
  <c r="I356" i="5"/>
  <c r="G356" i="5"/>
  <c r="G355" i="5" s="1"/>
  <c r="F356" i="5"/>
  <c r="F355" i="5" s="1"/>
  <c r="L355" i="5"/>
  <c r="K355" i="5"/>
  <c r="J355" i="5"/>
  <c r="I355" i="5"/>
  <c r="I354" i="5" s="1"/>
  <c r="J354" i="5"/>
  <c r="N353" i="5"/>
  <c r="L353" i="5"/>
  <c r="L352" i="5" s="1"/>
  <c r="H353" i="5"/>
  <c r="F353" i="5"/>
  <c r="N352" i="5"/>
  <c r="M352" i="5"/>
  <c r="K352" i="5"/>
  <c r="I352" i="5"/>
  <c r="H352" i="5"/>
  <c r="G352" i="5"/>
  <c r="F352" i="5"/>
  <c r="N351" i="5"/>
  <c r="L351" i="5"/>
  <c r="L350" i="5" s="1"/>
  <c r="L349" i="5" s="1"/>
  <c r="L348" i="5" s="1"/>
  <c r="H351" i="5"/>
  <c r="F351" i="5"/>
  <c r="N350" i="5"/>
  <c r="M350" i="5"/>
  <c r="K350" i="5"/>
  <c r="I350" i="5"/>
  <c r="H350" i="5"/>
  <c r="H349" i="5" s="1"/>
  <c r="H348" i="5" s="1"/>
  <c r="G350" i="5"/>
  <c r="F350" i="5"/>
  <c r="N349" i="5"/>
  <c r="M349" i="5"/>
  <c r="M348" i="5" s="1"/>
  <c r="K349" i="5"/>
  <c r="J349" i="5"/>
  <c r="J348" i="5" s="1"/>
  <c r="J343" i="5" s="1"/>
  <c r="I349" i="5"/>
  <c r="I348" i="5" s="1"/>
  <c r="G349" i="5"/>
  <c r="F349" i="5"/>
  <c r="F348" i="5" s="1"/>
  <c r="N348" i="5"/>
  <c r="K348" i="5"/>
  <c r="G348" i="5"/>
  <c r="N346" i="5"/>
  <c r="M346" i="5"/>
  <c r="L346" i="5"/>
  <c r="K346" i="5"/>
  <c r="I346" i="5"/>
  <c r="H346" i="5"/>
  <c r="G346" i="5"/>
  <c r="G345" i="5" s="1"/>
  <c r="G344" i="5" s="1"/>
  <c r="F346" i="5"/>
  <c r="N345" i="5"/>
  <c r="M345" i="5"/>
  <c r="L345" i="5"/>
  <c r="L344" i="5" s="1"/>
  <c r="K345" i="5"/>
  <c r="J345" i="5"/>
  <c r="I345" i="5"/>
  <c r="H345" i="5"/>
  <c r="H344" i="5" s="1"/>
  <c r="F345" i="5"/>
  <c r="N344" i="5"/>
  <c r="M344" i="5"/>
  <c r="K344" i="5"/>
  <c r="J344" i="5"/>
  <c r="I344" i="5"/>
  <c r="I343" i="5" s="1"/>
  <c r="F344" i="5"/>
  <c r="M342" i="5"/>
  <c r="L342" i="5"/>
  <c r="H342" i="5"/>
  <c r="N342" i="5" s="1"/>
  <c r="M341" i="5"/>
  <c r="L341" i="5"/>
  <c r="H341" i="5"/>
  <c r="N341" i="5" s="1"/>
  <c r="H338" i="5"/>
  <c r="H337" i="5" s="1"/>
  <c r="H336" i="5" s="1"/>
  <c r="L338" i="5"/>
  <c r="K338" i="5"/>
  <c r="I338" i="5"/>
  <c r="I337" i="5" s="1"/>
  <c r="I336" i="5" s="1"/>
  <c r="F338" i="5"/>
  <c r="K337" i="5"/>
  <c r="F337" i="5"/>
  <c r="L337" i="5" s="1"/>
  <c r="L336" i="5" s="1"/>
  <c r="K336" i="5"/>
  <c r="J336" i="5"/>
  <c r="N334" i="5"/>
  <c r="M334" i="5"/>
  <c r="M333" i="5" s="1"/>
  <c r="M332" i="5" s="1"/>
  <c r="L334" i="5"/>
  <c r="K334" i="5"/>
  <c r="I334" i="5"/>
  <c r="H334" i="5"/>
  <c r="H333" i="5" s="1"/>
  <c r="H332" i="5" s="1"/>
  <c r="G334" i="5"/>
  <c r="G333" i="5" s="1"/>
  <c r="G332" i="5" s="1"/>
  <c r="F334" i="5"/>
  <c r="N333" i="5"/>
  <c r="L333" i="5"/>
  <c r="K333" i="5"/>
  <c r="I333" i="5"/>
  <c r="I332" i="5" s="1"/>
  <c r="F333" i="5"/>
  <c r="N332" i="5"/>
  <c r="L332" i="5"/>
  <c r="K332" i="5"/>
  <c r="J332" i="5"/>
  <c r="F332" i="5"/>
  <c r="N329" i="5"/>
  <c r="M329" i="5"/>
  <c r="L329" i="5"/>
  <c r="K329" i="5"/>
  <c r="I329" i="5"/>
  <c r="H329" i="5"/>
  <c r="G329" i="5"/>
  <c r="F329" i="5"/>
  <c r="N328" i="5"/>
  <c r="M328" i="5"/>
  <c r="L328" i="5"/>
  <c r="K328" i="5"/>
  <c r="I328" i="5"/>
  <c r="H328" i="5"/>
  <c r="G328" i="5"/>
  <c r="F328" i="5"/>
  <c r="N326" i="5"/>
  <c r="M326" i="5"/>
  <c r="L326" i="5"/>
  <c r="K326" i="5"/>
  <c r="I326" i="5"/>
  <c r="H326" i="5"/>
  <c r="G326" i="5"/>
  <c r="F326" i="5"/>
  <c r="N325" i="5"/>
  <c r="M325" i="5"/>
  <c r="L325" i="5"/>
  <c r="K325" i="5"/>
  <c r="I325" i="5"/>
  <c r="H325" i="5"/>
  <c r="G325" i="5"/>
  <c r="F325" i="5"/>
  <c r="N322" i="5"/>
  <c r="M322" i="5"/>
  <c r="L322" i="5"/>
  <c r="K322" i="5"/>
  <c r="I322" i="5"/>
  <c r="H322" i="5"/>
  <c r="G322" i="5"/>
  <c r="F322" i="5"/>
  <c r="N321" i="5"/>
  <c r="M321" i="5"/>
  <c r="L321" i="5"/>
  <c r="K321" i="5"/>
  <c r="I321" i="5"/>
  <c r="H321" i="5"/>
  <c r="H320" i="5" s="1"/>
  <c r="G321" i="5"/>
  <c r="F321" i="5"/>
  <c r="N320" i="5"/>
  <c r="M320" i="5"/>
  <c r="L320" i="5"/>
  <c r="K320" i="5"/>
  <c r="K300" i="5" s="1"/>
  <c r="J320" i="5"/>
  <c r="I320" i="5"/>
  <c r="I300" i="5" s="1"/>
  <c r="G320" i="5"/>
  <c r="F320" i="5"/>
  <c r="N318" i="5"/>
  <c r="M318" i="5"/>
  <c r="L318" i="5"/>
  <c r="K318" i="5"/>
  <c r="I318" i="5"/>
  <c r="H318" i="5"/>
  <c r="G318" i="5"/>
  <c r="F318" i="5"/>
  <c r="H316" i="5"/>
  <c r="H315" i="5" s="1"/>
  <c r="H314" i="5" s="1"/>
  <c r="L316" i="5"/>
  <c r="L315" i="5" s="1"/>
  <c r="L314" i="5" s="1"/>
  <c r="K316" i="5"/>
  <c r="I316" i="5"/>
  <c r="G316" i="5"/>
  <c r="G315" i="5" s="1"/>
  <c r="G314" i="5" s="1"/>
  <c r="F316" i="5"/>
  <c r="K315" i="5"/>
  <c r="I315" i="5"/>
  <c r="F315" i="5"/>
  <c r="F314" i="5" s="1"/>
  <c r="K314" i="5"/>
  <c r="J314" i="5"/>
  <c r="I314" i="5"/>
  <c r="L313" i="5"/>
  <c r="F313" i="5"/>
  <c r="M312" i="5"/>
  <c r="L312" i="5"/>
  <c r="K311" i="5"/>
  <c r="I311" i="5"/>
  <c r="H311" i="5"/>
  <c r="N311" i="5" s="1"/>
  <c r="N307" i="5" s="1"/>
  <c r="F311" i="5"/>
  <c r="L311" i="5" s="1"/>
  <c r="L307" i="5" s="1"/>
  <c r="N308" i="5"/>
  <c r="M308" i="5"/>
  <c r="L308" i="5"/>
  <c r="K308" i="5"/>
  <c r="I308" i="5"/>
  <c r="H308" i="5"/>
  <c r="G308" i="5"/>
  <c r="F308" i="5"/>
  <c r="K307" i="5"/>
  <c r="I307" i="5"/>
  <c r="G307" i="5"/>
  <c r="F307" i="5"/>
  <c r="N305" i="5"/>
  <c r="M305" i="5"/>
  <c r="L305" i="5"/>
  <c r="L303" i="5" s="1"/>
  <c r="L302" i="5" s="1"/>
  <c r="N304" i="5"/>
  <c r="N303" i="5" s="1"/>
  <c r="N302" i="5" s="1"/>
  <c r="M304" i="5"/>
  <c r="M303" i="5" s="1"/>
  <c r="M302" i="5" s="1"/>
  <c r="L304" i="5"/>
  <c r="K303" i="5"/>
  <c r="I303" i="5"/>
  <c r="H303" i="5"/>
  <c r="G303" i="5"/>
  <c r="F303" i="5"/>
  <c r="K302" i="5"/>
  <c r="I302" i="5"/>
  <c r="H302" i="5"/>
  <c r="G302" i="5"/>
  <c r="F302" i="5"/>
  <c r="K301" i="5"/>
  <c r="J301" i="5"/>
  <c r="I301" i="5"/>
  <c r="G301" i="5"/>
  <c r="F301" i="5"/>
  <c r="J300" i="5"/>
  <c r="N296" i="5"/>
  <c r="M296" i="5"/>
  <c r="L296" i="5"/>
  <c r="H296" i="5"/>
  <c r="F296" i="5"/>
  <c r="N295" i="5"/>
  <c r="M295" i="5"/>
  <c r="L295" i="5"/>
  <c r="J295" i="5"/>
  <c r="H295" i="5"/>
  <c r="F295" i="5"/>
  <c r="M294" i="5"/>
  <c r="L294" i="5"/>
  <c r="H294" i="5"/>
  <c r="N294" i="5" s="1"/>
  <c r="M293" i="5"/>
  <c r="N293" i="5" s="1"/>
  <c r="H293" i="5"/>
  <c r="G293" i="5"/>
  <c r="L292" i="5"/>
  <c r="H292" i="5"/>
  <c r="N292" i="5" s="1"/>
  <c r="G292" i="5"/>
  <c r="M292" i="5" s="1"/>
  <c r="M291" i="5"/>
  <c r="M290" i="5" s="1"/>
  <c r="K290" i="5"/>
  <c r="K286" i="5" s="1"/>
  <c r="K285" i="5" s="1"/>
  <c r="K284" i="5" s="1"/>
  <c r="I290" i="5"/>
  <c r="H290" i="5"/>
  <c r="G290" i="5"/>
  <c r="M289" i="5"/>
  <c r="L289" i="5"/>
  <c r="N289" i="5"/>
  <c r="M288" i="5"/>
  <c r="L288" i="5"/>
  <c r="N288" i="5"/>
  <c r="K287" i="5"/>
  <c r="I287" i="5"/>
  <c r="G287" i="5"/>
  <c r="G286" i="5" s="1"/>
  <c r="G285" i="5" s="1"/>
  <c r="F287" i="5"/>
  <c r="J286" i="5"/>
  <c r="I286" i="5"/>
  <c r="I285" i="5" s="1"/>
  <c r="I284" i="5" s="1"/>
  <c r="J285" i="5"/>
  <c r="J284" i="5" s="1"/>
  <c r="N281" i="5"/>
  <c r="M281" i="5"/>
  <c r="L281" i="5"/>
  <c r="K281" i="5"/>
  <c r="I281" i="5"/>
  <c r="H281" i="5"/>
  <c r="G281" i="5"/>
  <c r="F281" i="5"/>
  <c r="N280" i="5"/>
  <c r="M280" i="5"/>
  <c r="L280" i="5"/>
  <c r="K280" i="5"/>
  <c r="I280" i="5"/>
  <c r="I279" i="5" s="1"/>
  <c r="H280" i="5"/>
  <c r="G280" i="5"/>
  <c r="G279" i="5" s="1"/>
  <c r="F280" i="5"/>
  <c r="F279" i="5" s="1"/>
  <c r="N279" i="5"/>
  <c r="M279" i="5"/>
  <c r="L279" i="5"/>
  <c r="K279" i="5"/>
  <c r="J279" i="5"/>
  <c r="J267" i="5" s="1"/>
  <c r="H279" i="5"/>
  <c r="N277" i="5"/>
  <c r="M277" i="5"/>
  <c r="L277" i="5"/>
  <c r="K277" i="5"/>
  <c r="I277" i="5"/>
  <c r="H277" i="5"/>
  <c r="G277" i="5"/>
  <c r="F277" i="5"/>
  <c r="N276" i="5"/>
  <c r="M276" i="5"/>
  <c r="L276" i="5"/>
  <c r="K276" i="5"/>
  <c r="I276" i="5"/>
  <c r="H276" i="5"/>
  <c r="H275" i="5" s="1"/>
  <c r="G276" i="5"/>
  <c r="G275" i="5" s="1"/>
  <c r="F276" i="5"/>
  <c r="F275" i="5" s="1"/>
  <c r="N275" i="5"/>
  <c r="M275" i="5"/>
  <c r="L275" i="5"/>
  <c r="L267" i="5" s="1"/>
  <c r="K275" i="5"/>
  <c r="K267" i="5" s="1"/>
  <c r="J275" i="5"/>
  <c r="I275" i="5"/>
  <c r="N272" i="5"/>
  <c r="M272" i="5"/>
  <c r="L272" i="5"/>
  <c r="K272" i="5"/>
  <c r="I272" i="5"/>
  <c r="H272" i="5"/>
  <c r="G272" i="5"/>
  <c r="F272" i="5"/>
  <c r="N270" i="5"/>
  <c r="M270" i="5"/>
  <c r="L270" i="5"/>
  <c r="K270" i="5"/>
  <c r="I270" i="5"/>
  <c r="H270" i="5"/>
  <c r="G270" i="5"/>
  <c r="F270" i="5"/>
  <c r="N269" i="5"/>
  <c r="M269" i="5"/>
  <c r="L269" i="5"/>
  <c r="K269" i="5"/>
  <c r="I269" i="5"/>
  <c r="H269" i="5"/>
  <c r="G269" i="5"/>
  <c r="F269" i="5"/>
  <c r="N268" i="5"/>
  <c r="M268" i="5"/>
  <c r="L268" i="5"/>
  <c r="K268" i="5"/>
  <c r="J268" i="5"/>
  <c r="I268" i="5"/>
  <c r="H268" i="5"/>
  <c r="G268" i="5"/>
  <c r="F268" i="5"/>
  <c r="N267" i="5"/>
  <c r="M266" i="5"/>
  <c r="H266" i="5"/>
  <c r="N266" i="5" s="1"/>
  <c r="N265" i="5"/>
  <c r="M265" i="5"/>
  <c r="H265" i="5"/>
  <c r="M264" i="5"/>
  <c r="H264" i="5"/>
  <c r="M263" i="5"/>
  <c r="H263" i="5"/>
  <c r="N263" i="5" s="1"/>
  <c r="N261" i="5"/>
  <c r="M261" i="5"/>
  <c r="L261" i="5"/>
  <c r="K261" i="5"/>
  <c r="I261" i="5"/>
  <c r="H261" i="5"/>
  <c r="G261" i="5"/>
  <c r="F261" i="5"/>
  <c r="N260" i="5"/>
  <c r="M260" i="5"/>
  <c r="L260" i="5"/>
  <c r="L256" i="5" s="1"/>
  <c r="K260" i="5"/>
  <c r="I260" i="5"/>
  <c r="H260" i="5"/>
  <c r="G260" i="5"/>
  <c r="F260" i="5"/>
  <c r="N258" i="5"/>
  <c r="M258" i="5"/>
  <c r="L258" i="5"/>
  <c r="K258" i="5"/>
  <c r="I258" i="5"/>
  <c r="H258" i="5"/>
  <c r="G258" i="5"/>
  <c r="F258" i="5"/>
  <c r="N257" i="5"/>
  <c r="M257" i="5"/>
  <c r="L257" i="5"/>
  <c r="K257" i="5"/>
  <c r="I257" i="5"/>
  <c r="I256" i="5" s="1"/>
  <c r="H257" i="5"/>
  <c r="H256" i="5" s="1"/>
  <c r="G257" i="5"/>
  <c r="G256" i="5" s="1"/>
  <c r="F257" i="5"/>
  <c r="F256" i="5" s="1"/>
  <c r="N256" i="5"/>
  <c r="M256" i="5"/>
  <c r="K256" i="5"/>
  <c r="J256" i="5"/>
  <c r="N254" i="5"/>
  <c r="M254" i="5"/>
  <c r="L254" i="5"/>
  <c r="K254" i="5"/>
  <c r="I254" i="5"/>
  <c r="H254" i="5"/>
  <c r="G254" i="5"/>
  <c r="F254" i="5"/>
  <c r="N253" i="5"/>
  <c r="M253" i="5"/>
  <c r="L253" i="5"/>
  <c r="K253" i="5"/>
  <c r="I253" i="5"/>
  <c r="I252" i="5" s="1"/>
  <c r="H253" i="5"/>
  <c r="H252" i="5" s="1"/>
  <c r="G253" i="5"/>
  <c r="G252" i="5" s="1"/>
  <c r="F253" i="5"/>
  <c r="N252" i="5"/>
  <c r="M252" i="5"/>
  <c r="L252" i="5"/>
  <c r="K252" i="5"/>
  <c r="J252" i="5"/>
  <c r="F252" i="5"/>
  <c r="N250" i="5"/>
  <c r="M250" i="5"/>
  <c r="L250" i="5"/>
  <c r="K250" i="5"/>
  <c r="I250" i="5"/>
  <c r="H250" i="5"/>
  <c r="G250" i="5"/>
  <c r="F250" i="5"/>
  <c r="M249" i="5"/>
  <c r="L249" i="5"/>
  <c r="L248" i="5" s="1"/>
  <c r="L247" i="5" s="1"/>
  <c r="L246" i="5" s="1"/>
  <c r="N249" i="5"/>
  <c r="N248" i="5" s="1"/>
  <c r="N247" i="5" s="1"/>
  <c r="N246" i="5" s="1"/>
  <c r="M248" i="5"/>
  <c r="M247" i="5" s="1"/>
  <c r="M246" i="5" s="1"/>
  <c r="K248" i="5"/>
  <c r="I248" i="5"/>
  <c r="H248" i="5"/>
  <c r="H247" i="5" s="1"/>
  <c r="H246" i="5" s="1"/>
  <c r="G248" i="5"/>
  <c r="G247" i="5" s="1"/>
  <c r="G246" i="5" s="1"/>
  <c r="F248" i="5"/>
  <c r="F247" i="5" s="1"/>
  <c r="F246" i="5" s="1"/>
  <c r="K247" i="5"/>
  <c r="I247" i="5"/>
  <c r="K246" i="5"/>
  <c r="I246" i="5"/>
  <c r="N245" i="5"/>
  <c r="M245" i="5"/>
  <c r="L245" i="5"/>
  <c r="N244" i="5"/>
  <c r="M244" i="5"/>
  <c r="L244" i="5"/>
  <c r="K244" i="5"/>
  <c r="I244" i="5"/>
  <c r="H244" i="5"/>
  <c r="G244" i="5"/>
  <c r="F244" i="5"/>
  <c r="N243" i="5"/>
  <c r="M243" i="5"/>
  <c r="L243" i="5"/>
  <c r="K243" i="5"/>
  <c r="I243" i="5"/>
  <c r="H243" i="5"/>
  <c r="G243" i="5"/>
  <c r="F243" i="5"/>
  <c r="N242" i="5"/>
  <c r="M242" i="5"/>
  <c r="L242" i="5"/>
  <c r="K242" i="5"/>
  <c r="I242" i="5"/>
  <c r="H242" i="5"/>
  <c r="G242" i="5"/>
  <c r="F242" i="5"/>
  <c r="M241" i="5"/>
  <c r="H241" i="5"/>
  <c r="N241" i="5" s="1"/>
  <c r="M240" i="5"/>
  <c r="H240" i="5"/>
  <c r="N240" i="5" s="1"/>
  <c r="M239" i="5"/>
  <c r="H239" i="5"/>
  <c r="N239" i="5" s="1"/>
  <c r="N238" i="5"/>
  <c r="M238" i="5"/>
  <c r="H238" i="5"/>
  <c r="N237" i="5"/>
  <c r="L237" i="5"/>
  <c r="H237" i="5"/>
  <c r="F237" i="5"/>
  <c r="N236" i="5"/>
  <c r="M236" i="5"/>
  <c r="L236" i="5"/>
  <c r="K236" i="5"/>
  <c r="I236" i="5"/>
  <c r="H236" i="5"/>
  <c r="G236" i="5"/>
  <c r="F236" i="5"/>
  <c r="N235" i="5"/>
  <c r="M235" i="5"/>
  <c r="L235" i="5"/>
  <c r="K235" i="5"/>
  <c r="I235" i="5"/>
  <c r="H235" i="5"/>
  <c r="G235" i="5"/>
  <c r="F235" i="5"/>
  <c r="N234" i="5"/>
  <c r="L234" i="5"/>
  <c r="H234" i="5"/>
  <c r="F234" i="5"/>
  <c r="N233" i="5"/>
  <c r="M233" i="5"/>
  <c r="L233" i="5"/>
  <c r="K233" i="5"/>
  <c r="I233" i="5"/>
  <c r="H233" i="5"/>
  <c r="G233" i="5"/>
  <c r="F233" i="5"/>
  <c r="N232" i="5"/>
  <c r="M232" i="5"/>
  <c r="L232" i="5"/>
  <c r="K232" i="5"/>
  <c r="K220" i="5" s="1"/>
  <c r="K219" i="5" s="1"/>
  <c r="I232" i="5"/>
  <c r="H232" i="5"/>
  <c r="G232" i="5"/>
  <c r="F232" i="5"/>
  <c r="N230" i="5"/>
  <c r="M230" i="5"/>
  <c r="L230" i="5"/>
  <c r="K230" i="5"/>
  <c r="I230" i="5"/>
  <c r="H230" i="5"/>
  <c r="G230" i="5"/>
  <c r="F230" i="5"/>
  <c r="L227" i="5"/>
  <c r="L226" i="5" s="1"/>
  <c r="M227" i="5"/>
  <c r="M226" i="5" s="1"/>
  <c r="K226" i="5"/>
  <c r="I226" i="5"/>
  <c r="G226" i="5"/>
  <c r="F226" i="5"/>
  <c r="N224" i="5"/>
  <c r="M224" i="5"/>
  <c r="L224" i="5"/>
  <c r="N223" i="5"/>
  <c r="M223" i="5"/>
  <c r="M220" i="5" s="1"/>
  <c r="L223" i="5"/>
  <c r="K222" i="5"/>
  <c r="I222" i="5"/>
  <c r="F222" i="5"/>
  <c r="K221" i="5"/>
  <c r="I221" i="5"/>
  <c r="F221" i="5"/>
  <c r="J220" i="5"/>
  <c r="I220" i="5"/>
  <c r="J219" i="5"/>
  <c r="N217" i="5"/>
  <c r="M217" i="5"/>
  <c r="L217" i="5"/>
  <c r="K217" i="5"/>
  <c r="I217" i="5"/>
  <c r="H217" i="5"/>
  <c r="G217" i="5"/>
  <c r="G216" i="5" s="1"/>
  <c r="G215" i="5" s="1"/>
  <c r="F217" i="5"/>
  <c r="F216" i="5" s="1"/>
  <c r="F215" i="5" s="1"/>
  <c r="N216" i="5"/>
  <c r="N215" i="5" s="1"/>
  <c r="M216" i="5"/>
  <c r="M215" i="5" s="1"/>
  <c r="L216" i="5"/>
  <c r="L215" i="5" s="1"/>
  <c r="K216" i="5"/>
  <c r="K215" i="5" s="1"/>
  <c r="I216" i="5"/>
  <c r="I215" i="5" s="1"/>
  <c r="H216" i="5"/>
  <c r="J215" i="5"/>
  <c r="H215" i="5"/>
  <c r="N213" i="5"/>
  <c r="M213" i="5"/>
  <c r="L213" i="5"/>
  <c r="K213" i="5"/>
  <c r="I213" i="5"/>
  <c r="H213" i="5"/>
  <c r="G213" i="5"/>
  <c r="F213" i="5"/>
  <c r="N212" i="5"/>
  <c r="M212" i="5"/>
  <c r="L212" i="5"/>
  <c r="K212" i="5"/>
  <c r="I212" i="5"/>
  <c r="I211" i="5" s="1"/>
  <c r="H212" i="5"/>
  <c r="H211" i="5" s="1"/>
  <c r="G212" i="5"/>
  <c r="G211" i="5" s="1"/>
  <c r="F212" i="5"/>
  <c r="F211" i="5" s="1"/>
  <c r="N211" i="5"/>
  <c r="M211" i="5"/>
  <c r="L211" i="5"/>
  <c r="K211" i="5"/>
  <c r="J211" i="5"/>
  <c r="J210" i="5"/>
  <c r="M209" i="5"/>
  <c r="N209" i="5" s="1"/>
  <c r="N208" i="5" s="1"/>
  <c r="N207" i="5" s="1"/>
  <c r="N206" i="5" s="1"/>
  <c r="L209" i="5"/>
  <c r="H209" i="5"/>
  <c r="M208" i="5"/>
  <c r="M207" i="5" s="1"/>
  <c r="M206" i="5" s="1"/>
  <c r="L208" i="5"/>
  <c r="L207" i="5" s="1"/>
  <c r="L206" i="5" s="1"/>
  <c r="K208" i="5"/>
  <c r="K207" i="5" s="1"/>
  <c r="K206" i="5" s="1"/>
  <c r="I208" i="5"/>
  <c r="I207" i="5" s="1"/>
  <c r="I206" i="5" s="1"/>
  <c r="H208" i="5"/>
  <c r="H207" i="5" s="1"/>
  <c r="H206" i="5" s="1"/>
  <c r="G208" i="5"/>
  <c r="G207" i="5" s="1"/>
  <c r="G206" i="5" s="1"/>
  <c r="F208" i="5"/>
  <c r="F207" i="5" s="1"/>
  <c r="F206" i="5" s="1"/>
  <c r="J206" i="5"/>
  <c r="N204" i="5"/>
  <c r="M204" i="5"/>
  <c r="L204" i="5"/>
  <c r="L203" i="5" s="1"/>
  <c r="L202" i="5" s="1"/>
  <c r="K204" i="5"/>
  <c r="K203" i="5" s="1"/>
  <c r="K202" i="5" s="1"/>
  <c r="I204" i="5"/>
  <c r="I203" i="5" s="1"/>
  <c r="I202" i="5" s="1"/>
  <c r="H204" i="5"/>
  <c r="H203" i="5" s="1"/>
  <c r="H202" i="5" s="1"/>
  <c r="G204" i="5"/>
  <c r="G203" i="5" s="1"/>
  <c r="G202" i="5" s="1"/>
  <c r="F204" i="5"/>
  <c r="F203" i="5" s="1"/>
  <c r="F202" i="5" s="1"/>
  <c r="N203" i="5"/>
  <c r="N202" i="5" s="1"/>
  <c r="M203" i="5"/>
  <c r="M202" i="5" s="1"/>
  <c r="J202" i="5"/>
  <c r="N195" i="5"/>
  <c r="M195" i="5"/>
  <c r="L195" i="5"/>
  <c r="K195" i="5"/>
  <c r="I195" i="5"/>
  <c r="H195" i="5"/>
  <c r="G195" i="5"/>
  <c r="F195" i="5"/>
  <c r="L194" i="5"/>
  <c r="L193" i="5" s="1"/>
  <c r="K194" i="5"/>
  <c r="I194" i="5"/>
  <c r="I193" i="5" s="1"/>
  <c r="H193" i="5"/>
  <c r="F194" i="5"/>
  <c r="F193" i="5" s="1"/>
  <c r="N193" i="5"/>
  <c r="M193" i="5"/>
  <c r="K193" i="5"/>
  <c r="J193" i="5"/>
  <c r="J177" i="5" s="1"/>
  <c r="G193" i="5"/>
  <c r="N190" i="5"/>
  <c r="M190" i="5"/>
  <c r="L190" i="5"/>
  <c r="K190" i="5"/>
  <c r="I190" i="5"/>
  <c r="H190" i="5"/>
  <c r="G190" i="5"/>
  <c r="F190" i="5"/>
  <c r="N189" i="5"/>
  <c r="M189" i="5"/>
  <c r="L189" i="5"/>
  <c r="K189" i="5"/>
  <c r="I189" i="5"/>
  <c r="H189" i="5"/>
  <c r="G189" i="5"/>
  <c r="F189" i="5"/>
  <c r="N188" i="5"/>
  <c r="M188" i="5"/>
  <c r="L188" i="5"/>
  <c r="K188" i="5"/>
  <c r="I188" i="5"/>
  <c r="H188" i="5"/>
  <c r="G188" i="5"/>
  <c r="F188" i="5"/>
  <c r="M187" i="5"/>
  <c r="M186" i="5"/>
  <c r="N186" i="5"/>
  <c r="M185" i="5"/>
  <c r="M184" i="5" s="1"/>
  <c r="N184" i="5" s="1"/>
  <c r="L185" i="5"/>
  <c r="K185" i="5"/>
  <c r="H185" i="5"/>
  <c r="L184" i="5"/>
  <c r="J184" i="5"/>
  <c r="K184" i="5" s="1"/>
  <c r="G184" i="5"/>
  <c r="H184" i="5" s="1"/>
  <c r="G183" i="5"/>
  <c r="M183" i="5" s="1"/>
  <c r="M182" i="5" s="1"/>
  <c r="J182" i="5"/>
  <c r="G182" i="5"/>
  <c r="N181" i="5"/>
  <c r="M181" i="5"/>
  <c r="K181" i="5"/>
  <c r="H181" i="5"/>
  <c r="J180" i="5"/>
  <c r="M180" i="5" s="1"/>
  <c r="N180" i="5" s="1"/>
  <c r="H180" i="5"/>
  <c r="J179" i="5"/>
  <c r="K179" i="5" s="1"/>
  <c r="H179" i="5"/>
  <c r="J178" i="5"/>
  <c r="M178" i="5" s="1"/>
  <c r="H178" i="5"/>
  <c r="M176" i="5"/>
  <c r="L176" i="5"/>
  <c r="H176" i="5"/>
  <c r="N176" i="5" s="1"/>
  <c r="L175" i="5"/>
  <c r="G175" i="5"/>
  <c r="H175" i="5" s="1"/>
  <c r="N175" i="5" s="1"/>
  <c r="G174" i="5"/>
  <c r="H174" i="5" s="1"/>
  <c r="F174" i="5"/>
  <c r="L174" i="5" s="1"/>
  <c r="M173" i="5"/>
  <c r="L173" i="5"/>
  <c r="H173" i="5"/>
  <c r="N173" i="5" s="1"/>
  <c r="N172" i="5"/>
  <c r="L172" i="5"/>
  <c r="H172" i="5"/>
  <c r="G172" i="5"/>
  <c r="M172" i="5" s="1"/>
  <c r="M171" i="5"/>
  <c r="L171" i="5"/>
  <c r="N171" i="5" s="1"/>
  <c r="H171" i="5"/>
  <c r="M170" i="5"/>
  <c r="L170" i="5"/>
  <c r="N170" i="5" s="1"/>
  <c r="H170" i="5"/>
  <c r="M169" i="5"/>
  <c r="H169" i="5"/>
  <c r="N169" i="5" s="1"/>
  <c r="N168" i="5" s="1"/>
  <c r="M168" i="5"/>
  <c r="K168" i="5"/>
  <c r="K167" i="5" s="1"/>
  <c r="I168" i="5"/>
  <c r="H168" i="5"/>
  <c r="H167" i="5" s="1"/>
  <c r="G168" i="5"/>
  <c r="G167" i="5" s="1"/>
  <c r="F168" i="5"/>
  <c r="L169" i="5" s="1"/>
  <c r="L168" i="5" s="1"/>
  <c r="L167" i="5" s="1"/>
  <c r="I167" i="5"/>
  <c r="N165" i="5"/>
  <c r="M165" i="5"/>
  <c r="L165" i="5"/>
  <c r="L164" i="5" s="1"/>
  <c r="K165" i="5"/>
  <c r="K164" i="5" s="1"/>
  <c r="I165" i="5"/>
  <c r="I164" i="5" s="1"/>
  <c r="I163" i="5" s="1"/>
  <c r="H165" i="5"/>
  <c r="H164" i="5" s="1"/>
  <c r="G165" i="5"/>
  <c r="G164" i="5" s="1"/>
  <c r="F165" i="5"/>
  <c r="F164" i="5" s="1"/>
  <c r="N164" i="5"/>
  <c r="M164" i="5"/>
  <c r="J163" i="5"/>
  <c r="M162" i="5"/>
  <c r="L162" i="5"/>
  <c r="H162" i="5"/>
  <c r="N162" i="5" s="1"/>
  <c r="N161" i="5" s="1"/>
  <c r="N158" i="5" s="1"/>
  <c r="N157" i="5" s="1"/>
  <c r="M161" i="5"/>
  <c r="L161" i="5"/>
  <c r="K161" i="5"/>
  <c r="I161" i="5"/>
  <c r="H161" i="5"/>
  <c r="G161" i="5"/>
  <c r="F161" i="5"/>
  <c r="N159" i="5"/>
  <c r="M159" i="5"/>
  <c r="L159" i="5"/>
  <c r="K159" i="5"/>
  <c r="I159" i="5"/>
  <c r="H159" i="5"/>
  <c r="G159" i="5"/>
  <c r="F159" i="5"/>
  <c r="M158" i="5"/>
  <c r="L158" i="5"/>
  <c r="K158" i="5"/>
  <c r="I158" i="5"/>
  <c r="H158" i="5"/>
  <c r="G158" i="5"/>
  <c r="F158" i="5"/>
  <c r="M157" i="5"/>
  <c r="L157" i="5"/>
  <c r="K157" i="5"/>
  <c r="J157" i="5"/>
  <c r="I157" i="5"/>
  <c r="H157" i="5"/>
  <c r="G157" i="5"/>
  <c r="F157" i="5"/>
  <c r="M156" i="5"/>
  <c r="N156" i="5"/>
  <c r="J155" i="5"/>
  <c r="G155" i="5"/>
  <c r="M154" i="5"/>
  <c r="M153" i="5" s="1"/>
  <c r="L154" i="5"/>
  <c r="N154" i="5"/>
  <c r="N153" i="5" s="1"/>
  <c r="L153" i="5"/>
  <c r="K153" i="5"/>
  <c r="I153" i="5"/>
  <c r="H153" i="5"/>
  <c r="G153" i="5"/>
  <c r="F153" i="5"/>
  <c r="N151" i="5"/>
  <c r="M151" i="5"/>
  <c r="L151" i="5"/>
  <c r="K151" i="5"/>
  <c r="I151" i="5"/>
  <c r="H151" i="5"/>
  <c r="G151" i="5"/>
  <c r="F151" i="5"/>
  <c r="M150" i="5"/>
  <c r="L150" i="5"/>
  <c r="H150" i="5"/>
  <c r="N150" i="5" s="1"/>
  <c r="M149" i="5"/>
  <c r="L149" i="5"/>
  <c r="H149" i="5"/>
  <c r="N149" i="5" s="1"/>
  <c r="M148" i="5"/>
  <c r="M147" i="5" s="1"/>
  <c r="L148" i="5"/>
  <c r="L147" i="5" s="1"/>
  <c r="H148" i="5"/>
  <c r="N148" i="5" s="1"/>
  <c r="N147" i="5" s="1"/>
  <c r="K147" i="5"/>
  <c r="I147" i="5"/>
  <c r="H147" i="5"/>
  <c r="G147" i="5"/>
  <c r="F147" i="5"/>
  <c r="N145" i="5"/>
  <c r="M145" i="5"/>
  <c r="L145" i="5"/>
  <c r="K145" i="5"/>
  <c r="I145" i="5"/>
  <c r="H145" i="5"/>
  <c r="G145" i="5"/>
  <c r="F145" i="5"/>
  <c r="M144" i="5"/>
  <c r="M143" i="5" s="1"/>
  <c r="L144" i="5"/>
  <c r="L143" i="5" s="1"/>
  <c r="K144" i="5"/>
  <c r="H143" i="5"/>
  <c r="K143" i="5"/>
  <c r="J143" i="5"/>
  <c r="I143" i="5"/>
  <c r="G143" i="5"/>
  <c r="F143" i="5"/>
  <c r="N142" i="5"/>
  <c r="N141" i="5" s="1"/>
  <c r="M142" i="5"/>
  <c r="L142" i="5"/>
  <c r="M141" i="5"/>
  <c r="L141" i="5"/>
  <c r="K141" i="5"/>
  <c r="I141" i="5"/>
  <c r="H141" i="5"/>
  <c r="G141" i="5"/>
  <c r="F141" i="5"/>
  <c r="J140" i="5"/>
  <c r="J139" i="5" s="1"/>
  <c r="F139" i="5"/>
  <c r="L138" i="5"/>
  <c r="K138" i="5"/>
  <c r="K137" i="5" s="1"/>
  <c r="I138" i="5"/>
  <c r="N137" i="5"/>
  <c r="M137" i="5"/>
  <c r="L137" i="5"/>
  <c r="I137" i="5"/>
  <c r="H137" i="5"/>
  <c r="G137" i="5"/>
  <c r="F137" i="5"/>
  <c r="N136" i="5"/>
  <c r="N135" i="5" s="1"/>
  <c r="M136" i="5"/>
  <c r="M135" i="5" s="1"/>
  <c r="K136" i="5"/>
  <c r="I136" i="5"/>
  <c r="L136" i="5" s="1"/>
  <c r="L135" i="5" s="1"/>
  <c r="H136" i="5"/>
  <c r="K135" i="5"/>
  <c r="H135" i="5"/>
  <c r="G135" i="5"/>
  <c r="F135" i="5"/>
  <c r="N134" i="5"/>
  <c r="L134" i="5"/>
  <c r="N133" i="5"/>
  <c r="M133" i="5"/>
  <c r="L133" i="5"/>
  <c r="K133" i="5"/>
  <c r="I133" i="5"/>
  <c r="H133" i="5"/>
  <c r="G133" i="5"/>
  <c r="F133" i="5"/>
  <c r="N132" i="5"/>
  <c r="M132" i="5"/>
  <c r="L132" i="5"/>
  <c r="N131" i="5"/>
  <c r="N130" i="5" s="1"/>
  <c r="M131" i="5"/>
  <c r="L131" i="5"/>
  <c r="L130" i="5" s="1"/>
  <c r="L129" i="5" s="1"/>
  <c r="L128" i="5" s="1"/>
  <c r="K131" i="5"/>
  <c r="H131" i="5"/>
  <c r="H130" i="5" s="1"/>
  <c r="H129" i="5" s="1"/>
  <c r="H128" i="5" s="1"/>
  <c r="M130" i="5"/>
  <c r="M128" i="5" s="1"/>
  <c r="K130" i="5"/>
  <c r="K129" i="5" s="1"/>
  <c r="K128" i="5" s="1"/>
  <c r="J130" i="5"/>
  <c r="I130" i="5"/>
  <c r="G130" i="5"/>
  <c r="F130" i="5"/>
  <c r="J129" i="5"/>
  <c r="J128" i="5" s="1"/>
  <c r="F129" i="5"/>
  <c r="F128" i="5" s="1"/>
  <c r="N127" i="5"/>
  <c r="N126" i="5" s="1"/>
  <c r="N125" i="5" s="1"/>
  <c r="N124" i="5" s="1"/>
  <c r="L127" i="5"/>
  <c r="M126" i="5"/>
  <c r="M125" i="5" s="1"/>
  <c r="M124" i="5" s="1"/>
  <c r="L126" i="5"/>
  <c r="L125" i="5" s="1"/>
  <c r="L124" i="5" s="1"/>
  <c r="K126" i="5"/>
  <c r="K125" i="5" s="1"/>
  <c r="K124" i="5" s="1"/>
  <c r="I126" i="5"/>
  <c r="H126" i="5"/>
  <c r="H125" i="5" s="1"/>
  <c r="H124" i="5" s="1"/>
  <c r="G126" i="5"/>
  <c r="F126" i="5"/>
  <c r="F125" i="5" s="1"/>
  <c r="F124" i="5" s="1"/>
  <c r="I125" i="5"/>
  <c r="I124" i="5" s="1"/>
  <c r="G125" i="5"/>
  <c r="G124" i="5" s="1"/>
  <c r="M122" i="5"/>
  <c r="L122" i="5"/>
  <c r="H122" i="5"/>
  <c r="N122" i="5" s="1"/>
  <c r="M121" i="5"/>
  <c r="M120" i="5"/>
  <c r="H120" i="5"/>
  <c r="N120" i="5" s="1"/>
  <c r="L119" i="5"/>
  <c r="H119" i="5"/>
  <c r="N119" i="5" s="1"/>
  <c r="G119" i="5"/>
  <c r="M119" i="5" s="1"/>
  <c r="N117" i="5"/>
  <c r="M117" i="5"/>
  <c r="L117" i="5"/>
  <c r="K117" i="5"/>
  <c r="I117" i="5"/>
  <c r="H117" i="5"/>
  <c r="G117" i="5"/>
  <c r="F117" i="5"/>
  <c r="N116" i="5"/>
  <c r="M116" i="5"/>
  <c r="L116" i="5"/>
  <c r="K116" i="5"/>
  <c r="K108" i="5" s="1"/>
  <c r="I116" i="5"/>
  <c r="H116" i="5"/>
  <c r="G116" i="5"/>
  <c r="F116" i="5"/>
  <c r="F108" i="5" s="1"/>
  <c r="M115" i="5"/>
  <c r="L115" i="5"/>
  <c r="H115" i="5"/>
  <c r="N115" i="5" s="1"/>
  <c r="M114" i="5"/>
  <c r="L114" i="5"/>
  <c r="H114" i="5"/>
  <c r="N114" i="5" s="1"/>
  <c r="M113" i="5"/>
  <c r="H113" i="5"/>
  <c r="N113" i="5" s="1"/>
  <c r="F113" i="5"/>
  <c r="L113" i="5" s="1"/>
  <c r="N112" i="5"/>
  <c r="M112" i="5"/>
  <c r="M110" i="5" s="1"/>
  <c r="M109" i="5" s="1"/>
  <c r="L112" i="5"/>
  <c r="L110" i="5" s="1"/>
  <c r="L109" i="5" s="1"/>
  <c r="H112" i="5"/>
  <c r="N110" i="5"/>
  <c r="N109" i="5" s="1"/>
  <c r="K110" i="5"/>
  <c r="I110" i="5"/>
  <c r="H110" i="5"/>
  <c r="G110" i="5"/>
  <c r="F110" i="5"/>
  <c r="K109" i="5"/>
  <c r="I109" i="5"/>
  <c r="H109" i="5"/>
  <c r="G109" i="5"/>
  <c r="F109" i="5"/>
  <c r="J108" i="5"/>
  <c r="N107" i="5"/>
  <c r="L107" i="5"/>
  <c r="L106" i="5" s="1"/>
  <c r="L105" i="5" s="1"/>
  <c r="H107" i="5"/>
  <c r="F107" i="5"/>
  <c r="F106" i="5" s="1"/>
  <c r="F105" i="5" s="1"/>
  <c r="N106" i="5"/>
  <c r="N105" i="5" s="1"/>
  <c r="M106" i="5"/>
  <c r="K106" i="5"/>
  <c r="K105" i="5" s="1"/>
  <c r="K96" i="5" s="1"/>
  <c r="I106" i="5"/>
  <c r="I105" i="5" s="1"/>
  <c r="H106" i="5"/>
  <c r="H105" i="5" s="1"/>
  <c r="G106" i="5"/>
  <c r="G105" i="5" s="1"/>
  <c r="M105" i="5"/>
  <c r="N103" i="5"/>
  <c r="M103" i="5"/>
  <c r="L103" i="5"/>
  <c r="K103" i="5"/>
  <c r="I103" i="5"/>
  <c r="H103" i="5"/>
  <c r="G103" i="5"/>
  <c r="F103" i="5"/>
  <c r="M102" i="5"/>
  <c r="L102" i="5"/>
  <c r="K102" i="5"/>
  <c r="N102" i="5" s="1"/>
  <c r="N101" i="5" s="1"/>
  <c r="M101" i="5"/>
  <c r="L101" i="5"/>
  <c r="K101" i="5"/>
  <c r="J101" i="5"/>
  <c r="I101" i="5"/>
  <c r="H101" i="5"/>
  <c r="G101" i="5"/>
  <c r="F101" i="5"/>
  <c r="M100" i="5"/>
  <c r="L100" i="5"/>
  <c r="L98" i="5" s="1"/>
  <c r="L97" i="5" s="1"/>
  <c r="K100" i="5"/>
  <c r="H100" i="5"/>
  <c r="N100" i="5" s="1"/>
  <c r="M99" i="5"/>
  <c r="L99" i="5"/>
  <c r="K99" i="5"/>
  <c r="J99" i="5"/>
  <c r="N99" i="5"/>
  <c r="K98" i="5"/>
  <c r="J98" i="5"/>
  <c r="I98" i="5"/>
  <c r="G98" i="5"/>
  <c r="G97" i="5" s="1"/>
  <c r="F98" i="5"/>
  <c r="K97" i="5"/>
  <c r="J97" i="5"/>
  <c r="I97" i="5"/>
  <c r="F97" i="5"/>
  <c r="J96" i="5"/>
  <c r="M95" i="5"/>
  <c r="L95" i="5"/>
  <c r="K95" i="5"/>
  <c r="N95" i="5" s="1"/>
  <c r="N94" i="5" s="1"/>
  <c r="H95" i="5"/>
  <c r="M94" i="5"/>
  <c r="L94" i="5"/>
  <c r="J94" i="5"/>
  <c r="J86" i="5" s="1"/>
  <c r="J85" i="5" s="1"/>
  <c r="I94" i="5"/>
  <c r="I87" i="5" s="1"/>
  <c r="I86" i="5" s="1"/>
  <c r="H94" i="5"/>
  <c r="H87" i="5" s="1"/>
  <c r="G94" i="5"/>
  <c r="G87" i="5" s="1"/>
  <c r="G86" i="5" s="1"/>
  <c r="F94" i="5"/>
  <c r="F87" i="5" s="1"/>
  <c r="F86" i="5" s="1"/>
  <c r="M91" i="5"/>
  <c r="N91" i="5"/>
  <c r="M90" i="5"/>
  <c r="N89" i="5"/>
  <c r="M89" i="5"/>
  <c r="L89" i="5"/>
  <c r="H89" i="5"/>
  <c r="N88" i="5"/>
  <c r="M88" i="5"/>
  <c r="L88" i="5"/>
  <c r="H88" i="5"/>
  <c r="N83" i="5"/>
  <c r="M83" i="5"/>
  <c r="L83" i="5"/>
  <c r="K83" i="5"/>
  <c r="I83" i="5"/>
  <c r="H83" i="5"/>
  <c r="G83" i="5"/>
  <c r="F83" i="5"/>
  <c r="N82" i="5"/>
  <c r="M82" i="5"/>
  <c r="L82" i="5"/>
  <c r="K82" i="5"/>
  <c r="I82" i="5"/>
  <c r="I81" i="5" s="1"/>
  <c r="H82" i="5"/>
  <c r="H81" i="5" s="1"/>
  <c r="G82" i="5"/>
  <c r="G81" i="5" s="1"/>
  <c r="F82" i="5"/>
  <c r="F81" i="5" s="1"/>
  <c r="N81" i="5"/>
  <c r="M81" i="5"/>
  <c r="L81" i="5"/>
  <c r="K81" i="5"/>
  <c r="J81" i="5"/>
  <c r="N79" i="5"/>
  <c r="M79" i="5"/>
  <c r="L79" i="5"/>
  <c r="K79" i="5"/>
  <c r="I79" i="5"/>
  <c r="H79" i="5"/>
  <c r="G79" i="5"/>
  <c r="F79" i="5"/>
  <c r="N78" i="5"/>
  <c r="M78" i="5"/>
  <c r="L78" i="5"/>
  <c r="K78" i="5"/>
  <c r="I78" i="5"/>
  <c r="H78" i="5"/>
  <c r="G78" i="5"/>
  <c r="F78" i="5"/>
  <c r="N76" i="5"/>
  <c r="M76" i="5"/>
  <c r="L76" i="5"/>
  <c r="K76" i="5"/>
  <c r="K75" i="5" s="1"/>
  <c r="K74" i="5" s="1"/>
  <c r="K73" i="5" s="1"/>
  <c r="I76" i="5"/>
  <c r="I75" i="5" s="1"/>
  <c r="I74" i="5" s="1"/>
  <c r="H76" i="5"/>
  <c r="H75" i="5" s="1"/>
  <c r="H74" i="5" s="1"/>
  <c r="G76" i="5"/>
  <c r="F76" i="5"/>
  <c r="F75" i="5" s="1"/>
  <c r="F74" i="5" s="1"/>
  <c r="N75" i="5"/>
  <c r="N74" i="5" s="1"/>
  <c r="M75" i="5"/>
  <c r="M74" i="5" s="1"/>
  <c r="M73" i="5" s="1"/>
  <c r="L75" i="5"/>
  <c r="L74" i="5" s="1"/>
  <c r="G75" i="5"/>
  <c r="G74" i="5" s="1"/>
  <c r="J74" i="5"/>
  <c r="J73" i="5"/>
  <c r="N70" i="5"/>
  <c r="M70" i="5"/>
  <c r="L70" i="5"/>
  <c r="K70" i="5"/>
  <c r="I70" i="5"/>
  <c r="H70" i="5"/>
  <c r="G70" i="5"/>
  <c r="F70" i="5"/>
  <c r="N69" i="5"/>
  <c r="M69" i="5"/>
  <c r="L69" i="5"/>
  <c r="K69" i="5"/>
  <c r="I69" i="5"/>
  <c r="I68" i="5" s="1"/>
  <c r="H69" i="5"/>
  <c r="G69" i="5"/>
  <c r="G68" i="5" s="1"/>
  <c r="F69" i="5"/>
  <c r="F68" i="5" s="1"/>
  <c r="N68" i="5"/>
  <c r="M68" i="5"/>
  <c r="L68" i="5"/>
  <c r="K68" i="5"/>
  <c r="J68" i="5"/>
  <c r="H68" i="5"/>
  <c r="N66" i="5"/>
  <c r="M66" i="5"/>
  <c r="L66" i="5"/>
  <c r="H66" i="5"/>
  <c r="N65" i="5"/>
  <c r="M65" i="5"/>
  <c r="M64" i="5" s="1"/>
  <c r="M63" i="5" s="1"/>
  <c r="L65" i="5"/>
  <c r="L64" i="5" s="1"/>
  <c r="L63" i="5" s="1"/>
  <c r="H65" i="5"/>
  <c r="N64" i="5"/>
  <c r="N63" i="5" s="1"/>
  <c r="K64" i="5"/>
  <c r="I64" i="5"/>
  <c r="H64" i="5"/>
  <c r="G64" i="5"/>
  <c r="F64" i="5"/>
  <c r="K63" i="5"/>
  <c r="I63" i="5"/>
  <c r="H63" i="5"/>
  <c r="G63" i="5"/>
  <c r="F63" i="5"/>
  <c r="N62" i="5"/>
  <c r="L62" i="5"/>
  <c r="N61" i="5"/>
  <c r="L61" i="5"/>
  <c r="N60" i="5"/>
  <c r="L60" i="5"/>
  <c r="N59" i="5"/>
  <c r="N58" i="5" s="1"/>
  <c r="L59" i="5"/>
  <c r="M58" i="5"/>
  <c r="L58" i="5"/>
  <c r="K58" i="5"/>
  <c r="I58" i="5"/>
  <c r="H58" i="5"/>
  <c r="G58" i="5"/>
  <c r="F58" i="5"/>
  <c r="M57" i="5"/>
  <c r="M56" i="5" s="1"/>
  <c r="L57" i="5"/>
  <c r="N56" i="5" s="1"/>
  <c r="L56" i="5"/>
  <c r="K56" i="5"/>
  <c r="H56" i="5"/>
  <c r="G56" i="5"/>
  <c r="F56" i="5"/>
  <c r="K55" i="5"/>
  <c r="K54" i="5" s="1"/>
  <c r="K48" i="5" s="1"/>
  <c r="K47" i="5" s="1"/>
  <c r="J54" i="5"/>
  <c r="I54" i="5"/>
  <c r="G54" i="5"/>
  <c r="N52" i="5"/>
  <c r="L52" i="5"/>
  <c r="H52" i="5"/>
  <c r="F52" i="5"/>
  <c r="M51" i="5"/>
  <c r="L51" i="5"/>
  <c r="H51" i="5"/>
  <c r="N51" i="5" s="1"/>
  <c r="N49" i="5" s="1"/>
  <c r="N50" i="5"/>
  <c r="L50" i="5"/>
  <c r="H50" i="5"/>
  <c r="H49" i="5" s="1"/>
  <c r="F50" i="5"/>
  <c r="M49" i="5"/>
  <c r="L49" i="5"/>
  <c r="K49" i="5"/>
  <c r="I49" i="5"/>
  <c r="G49" i="5"/>
  <c r="F49" i="5"/>
  <c r="J48" i="5"/>
  <c r="J47" i="5" s="1"/>
  <c r="G48" i="5"/>
  <c r="G47" i="5" s="1"/>
  <c r="N45" i="5"/>
  <c r="M45" i="5"/>
  <c r="L45" i="5"/>
  <c r="K45" i="5"/>
  <c r="I45" i="5"/>
  <c r="H45" i="5"/>
  <c r="G45" i="5"/>
  <c r="F45" i="5"/>
  <c r="N43" i="5"/>
  <c r="M43" i="5"/>
  <c r="L43" i="5"/>
  <c r="K43" i="5"/>
  <c r="I43" i="5"/>
  <c r="H43" i="5"/>
  <c r="G43" i="5"/>
  <c r="F43" i="5"/>
  <c r="M42" i="5"/>
  <c r="L42" i="5"/>
  <c r="N42" i="5" s="1"/>
  <c r="N41" i="5" s="1"/>
  <c r="N40" i="5" s="1"/>
  <c r="N39" i="5" s="1"/>
  <c r="H42" i="5"/>
  <c r="M41" i="5"/>
  <c r="L41" i="5"/>
  <c r="K41" i="5"/>
  <c r="I41" i="5"/>
  <c r="H41" i="5"/>
  <c r="G41" i="5"/>
  <c r="F41" i="5"/>
  <c r="M40" i="5"/>
  <c r="L40" i="5"/>
  <c r="K40" i="5"/>
  <c r="I40" i="5"/>
  <c r="H40" i="5"/>
  <c r="G40" i="5"/>
  <c r="F40" i="5"/>
  <c r="M39" i="5"/>
  <c r="L39" i="5"/>
  <c r="K39" i="5"/>
  <c r="I39" i="5"/>
  <c r="H39" i="5"/>
  <c r="G39" i="5"/>
  <c r="F39" i="5"/>
  <c r="N35" i="5"/>
  <c r="M35" i="5"/>
  <c r="L35" i="5"/>
  <c r="K35" i="5"/>
  <c r="I35" i="5"/>
  <c r="H35" i="5"/>
  <c r="G35" i="5"/>
  <c r="F35" i="5"/>
  <c r="N34" i="5"/>
  <c r="M34" i="5"/>
  <c r="M33" i="5" s="1"/>
  <c r="L34" i="5"/>
  <c r="L33" i="5" s="1"/>
  <c r="K34" i="5"/>
  <c r="K33" i="5" s="1"/>
  <c r="I34" i="5"/>
  <c r="I33" i="5" s="1"/>
  <c r="H34" i="5"/>
  <c r="H33" i="5" s="1"/>
  <c r="G34" i="5"/>
  <c r="G33" i="5" s="1"/>
  <c r="F34" i="5"/>
  <c r="F33" i="5" s="1"/>
  <c r="N33" i="5"/>
  <c r="J33" i="5"/>
  <c r="M32" i="5"/>
  <c r="L32" i="5"/>
  <c r="K32" i="5"/>
  <c r="N32" i="5" s="1"/>
  <c r="J31" i="5"/>
  <c r="I31" i="5"/>
  <c r="L31" i="5" s="1"/>
  <c r="M30" i="5"/>
  <c r="L30" i="5"/>
  <c r="H30" i="5"/>
  <c r="N30" i="5" s="1"/>
  <c r="N29" i="5" s="1"/>
  <c r="M29" i="5"/>
  <c r="L29" i="5"/>
  <c r="K29" i="5"/>
  <c r="I29" i="5"/>
  <c r="H29" i="5"/>
  <c r="G29" i="5"/>
  <c r="F29" i="5"/>
  <c r="M27" i="5"/>
  <c r="M25" i="5" s="1"/>
  <c r="M24" i="5" s="1"/>
  <c r="M18" i="5" s="1"/>
  <c r="L27" i="5"/>
  <c r="L25" i="5" s="1"/>
  <c r="L24" i="5" s="1"/>
  <c r="L18" i="5" s="1"/>
  <c r="K27" i="5"/>
  <c r="K25" i="5" s="1"/>
  <c r="N27" i="5"/>
  <c r="N25" i="5" s="1"/>
  <c r="N26" i="5"/>
  <c r="M26" i="5"/>
  <c r="L26" i="5"/>
  <c r="H26" i="5"/>
  <c r="J25" i="5"/>
  <c r="I25" i="5"/>
  <c r="I24" i="5" s="1"/>
  <c r="H25" i="5"/>
  <c r="H24" i="5" s="1"/>
  <c r="H18" i="5" s="1"/>
  <c r="G25" i="5"/>
  <c r="F25" i="5"/>
  <c r="J24" i="5"/>
  <c r="F24" i="5"/>
  <c r="N22" i="5"/>
  <c r="M22" i="5"/>
  <c r="L22" i="5"/>
  <c r="K22" i="5"/>
  <c r="I22" i="5"/>
  <c r="H22" i="5"/>
  <c r="G22" i="5"/>
  <c r="F22" i="5"/>
  <c r="N20" i="5"/>
  <c r="M20" i="5"/>
  <c r="L20" i="5"/>
  <c r="K20" i="5"/>
  <c r="K19" i="5" s="1"/>
  <c r="I20" i="5"/>
  <c r="H20" i="5"/>
  <c r="G20" i="5"/>
  <c r="F20" i="5"/>
  <c r="N19" i="5"/>
  <c r="M19" i="5"/>
  <c r="L19" i="5"/>
  <c r="I19" i="5"/>
  <c r="H19" i="5"/>
  <c r="G19" i="5"/>
  <c r="F19" i="5"/>
  <c r="F18" i="5" s="1"/>
  <c r="J18" i="5"/>
  <c r="G128" i="5" l="1"/>
  <c r="N312" i="5"/>
  <c r="M311" i="5"/>
  <c r="G177" i="5"/>
  <c r="M177" i="5" s="1"/>
  <c r="M87" i="5"/>
  <c r="M86" i="5" s="1"/>
  <c r="N222" i="5"/>
  <c r="I219" i="5"/>
  <c r="I267" i="5"/>
  <c r="M267" i="5"/>
  <c r="H267" i="5"/>
  <c r="L73" i="5"/>
  <c r="N87" i="5"/>
  <c r="N86" i="5" s="1"/>
  <c r="N210" i="5"/>
  <c r="L210" i="5"/>
  <c r="N73" i="5"/>
  <c r="K38" i="5"/>
  <c r="M98" i="5"/>
  <c r="M97" i="5" s="1"/>
  <c r="M96" i="5" s="1"/>
  <c r="G267" i="5"/>
  <c r="F267" i="5"/>
  <c r="L222" i="5"/>
  <c r="G220" i="5"/>
  <c r="G219" i="5" s="1"/>
  <c r="L287" i="5"/>
  <c r="L301" i="5"/>
  <c r="L300" i="5" s="1"/>
  <c r="F220" i="5"/>
  <c r="N301" i="5"/>
  <c r="F300" i="5"/>
  <c r="G24" i="5"/>
  <c r="G18" i="5" s="1"/>
  <c r="G96" i="5"/>
  <c r="F73" i="5"/>
  <c r="H307" i="5"/>
  <c r="H301" i="5" s="1"/>
  <c r="H300" i="5" s="1"/>
  <c r="M307" i="5"/>
  <c r="M301" i="5" s="1"/>
  <c r="M287" i="5"/>
  <c r="M286" i="5" s="1"/>
  <c r="M285" i="5" s="1"/>
  <c r="M284" i="5" s="1"/>
  <c r="L87" i="5"/>
  <c r="L86" i="5" s="1"/>
  <c r="L140" i="5"/>
  <c r="L139" i="5" s="1"/>
  <c r="N167" i="5"/>
  <c r="M167" i="5"/>
  <c r="N185" i="5"/>
  <c r="K210" i="5"/>
  <c r="F210" i="5"/>
  <c r="I73" i="5"/>
  <c r="N108" i="5"/>
  <c r="K163" i="5"/>
  <c r="M210" i="5"/>
  <c r="H210" i="5"/>
  <c r="G210" i="5"/>
  <c r="I177" i="5"/>
  <c r="I210" i="5"/>
  <c r="G73" i="5"/>
  <c r="I108" i="5"/>
  <c r="H73" i="5"/>
  <c r="L108" i="5"/>
  <c r="L221" i="5"/>
  <c r="L220" i="5" s="1"/>
  <c r="L219" i="5" s="1"/>
  <c r="I96" i="5"/>
  <c r="I85" i="5" s="1"/>
  <c r="J38" i="5"/>
  <c r="J17" i="5" s="1"/>
  <c r="J16" i="5" s="1"/>
  <c r="L96" i="5"/>
  <c r="F167" i="5"/>
  <c r="F163" i="5" s="1"/>
  <c r="F123" i="5" s="1"/>
  <c r="G300" i="5"/>
  <c r="N357" i="5"/>
  <c r="N356" i="5" s="1"/>
  <c r="N355" i="5" s="1"/>
  <c r="I139" i="5"/>
  <c r="L291" i="5"/>
  <c r="L290" i="5" s="1"/>
  <c r="L286" i="5" s="1"/>
  <c r="L285" i="5" s="1"/>
  <c r="L284" i="5" s="1"/>
  <c r="H86" i="5"/>
  <c r="I48" i="5"/>
  <c r="I47" i="5" s="1"/>
  <c r="I38" i="5" s="1"/>
  <c r="G354" i="5"/>
  <c r="G343" i="5" s="1"/>
  <c r="N367" i="5"/>
  <c r="N366" i="5" s="1"/>
  <c r="M374" i="5"/>
  <c r="F366" i="5"/>
  <c r="F354" i="5" s="1"/>
  <c r="F343" i="5" s="1"/>
  <c r="L354" i="5"/>
  <c r="L343" i="5" s="1"/>
  <c r="N291" i="5"/>
  <c r="N290" i="5" s="1"/>
  <c r="H287" i="5"/>
  <c r="H286" i="5" s="1"/>
  <c r="H285" i="5" s="1"/>
  <c r="H284" i="5" s="1"/>
  <c r="M219" i="5"/>
  <c r="F219" i="5"/>
  <c r="K183" i="5"/>
  <c r="K182" i="5" s="1"/>
  <c r="K177" i="5" s="1"/>
  <c r="N187" i="5"/>
  <c r="L163" i="5"/>
  <c r="G163" i="5"/>
  <c r="M175" i="5"/>
  <c r="J123" i="5"/>
  <c r="K139" i="5"/>
  <c r="M155" i="5"/>
  <c r="G140" i="5"/>
  <c r="H108" i="5"/>
  <c r="M108" i="5"/>
  <c r="G108" i="5"/>
  <c r="F96" i="5"/>
  <c r="F85" i="5" s="1"/>
  <c r="G38" i="5"/>
  <c r="M54" i="5"/>
  <c r="M48" i="5" s="1"/>
  <c r="M47" i="5" s="1"/>
  <c r="M38" i="5" s="1"/>
  <c r="L55" i="5"/>
  <c r="L54" i="5" s="1"/>
  <c r="L48" i="5" s="1"/>
  <c r="L47" i="5" s="1"/>
  <c r="L38" i="5" s="1"/>
  <c r="F48" i="5"/>
  <c r="F47" i="5" s="1"/>
  <c r="F38" i="5" s="1"/>
  <c r="H55" i="5"/>
  <c r="N55" i="5" s="1"/>
  <c r="N54" i="5" s="1"/>
  <c r="N48" i="5" s="1"/>
  <c r="N47" i="5" s="1"/>
  <c r="N38" i="5" s="1"/>
  <c r="H54" i="5"/>
  <c r="H48" i="5" s="1"/>
  <c r="H47" i="5" s="1"/>
  <c r="H38" i="5" s="1"/>
  <c r="I18" i="5"/>
  <c r="N24" i="5"/>
  <c r="N18" i="5" s="1"/>
  <c r="K24" i="5"/>
  <c r="K18" i="5" s="1"/>
  <c r="H98" i="5"/>
  <c r="H97" i="5" s="1"/>
  <c r="H96" i="5" s="1"/>
  <c r="N174" i="5"/>
  <c r="H163" i="5"/>
  <c r="H366" i="5"/>
  <c r="H354" i="5" s="1"/>
  <c r="H343" i="5" s="1"/>
  <c r="N98" i="5"/>
  <c r="N97" i="5" s="1"/>
  <c r="N96" i="5" s="1"/>
  <c r="N129" i="5"/>
  <c r="N128" i="5" s="1"/>
  <c r="N287" i="5"/>
  <c r="K354" i="5"/>
  <c r="K31" i="5"/>
  <c r="N31" i="5" s="1"/>
  <c r="M55" i="5"/>
  <c r="N183" i="5"/>
  <c r="K343" i="5"/>
  <c r="K94" i="5"/>
  <c r="I135" i="5"/>
  <c r="I129" i="5" s="1"/>
  <c r="I128" i="5" s="1"/>
  <c r="N155" i="5"/>
  <c r="M174" i="5"/>
  <c r="M163" i="5" s="1"/>
  <c r="M179" i="5"/>
  <c r="N179" i="5" s="1"/>
  <c r="K180" i="5"/>
  <c r="M339" i="5"/>
  <c r="M368" i="5"/>
  <c r="M367" i="5" s="1"/>
  <c r="M366" i="5" s="1"/>
  <c r="M354" i="5" s="1"/>
  <c r="H376" i="5"/>
  <c r="N376" i="5" s="1"/>
  <c r="M317" i="5"/>
  <c r="F336" i="5"/>
  <c r="N144" i="5"/>
  <c r="N143" i="5" s="1"/>
  <c r="N140" i="5" s="1"/>
  <c r="K178" i="5"/>
  <c r="N178" i="5" s="1"/>
  <c r="G375" i="5"/>
  <c r="H183" i="5"/>
  <c r="G337" i="5"/>
  <c r="N119" i="4"/>
  <c r="M119" i="4"/>
  <c r="G117" i="4"/>
  <c r="H119" i="4"/>
  <c r="H120" i="4"/>
  <c r="K123" i="5" l="1"/>
  <c r="G139" i="5"/>
  <c r="M140" i="5"/>
  <c r="M139" i="5"/>
  <c r="M123" i="5" s="1"/>
  <c r="G85" i="5"/>
  <c r="M85" i="5"/>
  <c r="L85" i="5"/>
  <c r="L123" i="5"/>
  <c r="N163" i="5"/>
  <c r="N85" i="5"/>
  <c r="G123" i="5"/>
  <c r="K86" i="5"/>
  <c r="K85" i="5" s="1"/>
  <c r="K17" i="5" s="1"/>
  <c r="K16" i="5" s="1"/>
  <c r="N354" i="5"/>
  <c r="N343" i="5" s="1"/>
  <c r="I123" i="5"/>
  <c r="I17" i="5" s="1"/>
  <c r="I16" i="5" s="1"/>
  <c r="N139" i="5"/>
  <c r="M343" i="5"/>
  <c r="N286" i="5"/>
  <c r="N285" i="5" s="1"/>
  <c r="N284" i="5" s="1"/>
  <c r="H85" i="5"/>
  <c r="N338" i="5"/>
  <c r="N337" i="5" s="1"/>
  <c r="N336" i="5" s="1"/>
  <c r="M338" i="5"/>
  <c r="G336" i="5"/>
  <c r="M337" i="5"/>
  <c r="M336" i="5" s="1"/>
  <c r="H375" i="5"/>
  <c r="N375" i="5" s="1"/>
  <c r="M375" i="5"/>
  <c r="M316" i="5"/>
  <c r="M315" i="5" s="1"/>
  <c r="M314" i="5" s="1"/>
  <c r="M300" i="5" s="1"/>
  <c r="N316" i="5"/>
  <c r="N315" i="5" s="1"/>
  <c r="N314" i="5" s="1"/>
  <c r="N300" i="5" s="1"/>
  <c r="N227" i="5"/>
  <c r="N226" i="5" s="1"/>
  <c r="N220" i="5" s="1"/>
  <c r="N219" i="5" s="1"/>
  <c r="H226" i="5"/>
  <c r="H220" i="5" s="1"/>
  <c r="H219" i="5" s="1"/>
  <c r="H140" i="5"/>
  <c r="H139" i="5" s="1"/>
  <c r="H123" i="5" s="1"/>
  <c r="H138" i="4"/>
  <c r="G138" i="4"/>
  <c r="N123" i="5" l="1"/>
  <c r="M17" i="5"/>
  <c r="M16" i="5" s="1"/>
  <c r="G359" i="4"/>
  <c r="N153" i="4"/>
  <c r="N138" i="4" s="1"/>
  <c r="N154" i="4"/>
  <c r="M153" i="4"/>
  <c r="M138" i="4" s="1"/>
  <c r="M154" i="4"/>
  <c r="H153" i="4"/>
  <c r="G153" i="4"/>
  <c r="H154" i="4"/>
  <c r="K138" i="4"/>
  <c r="J138" i="4"/>
  <c r="K153" i="4"/>
  <c r="K154" i="4"/>
  <c r="J153" i="4"/>
  <c r="G308" i="4" l="1"/>
  <c r="G330" i="4" l="1"/>
  <c r="M181" i="4"/>
  <c r="J181" i="4"/>
  <c r="G175" i="4"/>
  <c r="N184" i="4"/>
  <c r="N185" i="4"/>
  <c r="M184" i="4"/>
  <c r="M185" i="4"/>
  <c r="K184" i="4"/>
  <c r="G181" i="4"/>
  <c r="K185" i="4"/>
  <c r="H184" i="4"/>
  <c r="H185" i="4"/>
  <c r="M179" i="4"/>
  <c r="N179" i="4" s="1"/>
  <c r="H176" i="4"/>
  <c r="H177" i="4"/>
  <c r="H178" i="4"/>
  <c r="H179" i="4"/>
  <c r="L180" i="4" l="1"/>
  <c r="G366" i="4" l="1"/>
  <c r="H280" i="4" l="1"/>
  <c r="H281" i="4"/>
  <c r="G221" i="4" l="1"/>
  <c r="G55" i="4"/>
  <c r="H241" i="4" l="1"/>
  <c r="M308" i="4" l="1"/>
  <c r="N308" i="4" s="1"/>
  <c r="H308" i="4"/>
  <c r="H172" i="4" l="1"/>
  <c r="H173" i="4"/>
  <c r="H174" i="4"/>
  <c r="M183" i="4" l="1"/>
  <c r="H183" i="4"/>
  <c r="J182" i="4"/>
  <c r="K182" i="4" s="1"/>
  <c r="K183" i="4"/>
  <c r="H55" i="4"/>
  <c r="K55" i="4"/>
  <c r="N183" i="4" l="1"/>
  <c r="J180" i="4"/>
  <c r="G358" i="4"/>
  <c r="K181" i="4" l="1"/>
  <c r="H221" i="4"/>
  <c r="K180" i="4" l="1"/>
  <c r="J278" i="4"/>
  <c r="M283" i="4"/>
  <c r="K283" i="4"/>
  <c r="J178" i="4" l="1"/>
  <c r="M178" i="4" s="1"/>
  <c r="N178" i="4" s="1"/>
  <c r="K179" i="4"/>
  <c r="N90" i="4"/>
  <c r="N91" i="4"/>
  <c r="M90" i="4"/>
  <c r="K90" i="4"/>
  <c r="K91" i="4"/>
  <c r="M91" i="4"/>
  <c r="H90" i="4"/>
  <c r="H91" i="4"/>
  <c r="J177" i="4" l="1"/>
  <c r="M177" i="4" s="1"/>
  <c r="K178" i="4"/>
  <c r="M359" i="4"/>
  <c r="N359" i="4" s="1"/>
  <c r="H359" i="4"/>
  <c r="N177" i="4" l="1"/>
  <c r="J176" i="4"/>
  <c r="K177" i="4"/>
  <c r="H93" i="4"/>
  <c r="K176" i="4" l="1"/>
  <c r="N176" i="4" s="1"/>
  <c r="M176" i="4"/>
  <c r="M91" i="3"/>
  <c r="K91" i="3"/>
  <c r="N91" i="3" s="1"/>
  <c r="H91" i="3"/>
  <c r="J90" i="3"/>
  <c r="J87" i="3" s="1"/>
  <c r="M264" i="3" l="1"/>
  <c r="J259" i="3"/>
  <c r="K264" i="3"/>
  <c r="G283" i="4" l="1"/>
  <c r="H358" i="4" l="1"/>
  <c r="N232" i="4" l="1"/>
  <c r="M230" i="4"/>
  <c r="M231" i="4"/>
  <c r="M232" i="4"/>
  <c r="M233" i="4"/>
  <c r="H230" i="4"/>
  <c r="N230" i="4" s="1"/>
  <c r="H231" i="4"/>
  <c r="N231" i="4" s="1"/>
  <c r="H232" i="4"/>
  <c r="H233" i="4"/>
  <c r="N233" i="4" s="1"/>
  <c r="M255" i="4"/>
  <c r="M256" i="4"/>
  <c r="M258" i="4"/>
  <c r="M257" i="4"/>
  <c r="H255" i="4"/>
  <c r="N255" i="4" s="1"/>
  <c r="H256" i="4"/>
  <c r="H257" i="4"/>
  <c r="H258" i="4"/>
  <c r="N258" i="4" s="1"/>
  <c r="N257" i="4" l="1"/>
  <c r="M93" i="4"/>
  <c r="K93" i="4"/>
  <c r="J92" i="4"/>
  <c r="J87" i="4" s="1"/>
  <c r="M167" i="4"/>
  <c r="H167" i="4"/>
  <c r="M347" i="4"/>
  <c r="N347" i="4" s="1"/>
  <c r="H347" i="4"/>
  <c r="H366" i="4"/>
  <c r="H283" i="4"/>
  <c r="L364" i="4"/>
  <c r="N295" i="4"/>
  <c r="L295" i="4"/>
  <c r="N280" i="4"/>
  <c r="L280" i="4"/>
  <c r="N281" i="4"/>
  <c r="L281" i="4"/>
  <c r="L284" i="4"/>
  <c r="L286" i="4"/>
  <c r="N241" i="4"/>
  <c r="L241" i="4"/>
  <c r="N237" i="4"/>
  <c r="L237" i="4"/>
  <c r="N221" i="4"/>
  <c r="L221" i="4"/>
  <c r="N217" i="4"/>
  <c r="L217" i="4"/>
  <c r="N218" i="4"/>
  <c r="L218" i="4"/>
  <c r="L358" i="4"/>
  <c r="L331" i="4"/>
  <c r="L332" i="4"/>
  <c r="N296" i="4"/>
  <c r="L296" i="4"/>
  <c r="L181" i="4"/>
  <c r="L182" i="4"/>
  <c r="L183" i="4"/>
  <c r="L32" i="4"/>
  <c r="L30" i="4"/>
  <c r="L26" i="4"/>
  <c r="L27" i="4"/>
  <c r="L42" i="4"/>
  <c r="N42" i="4" s="1"/>
  <c r="L51" i="4"/>
  <c r="L65" i="4"/>
  <c r="L66" i="4"/>
  <c r="L57" i="4"/>
  <c r="N57" i="4" s="1"/>
  <c r="L55" i="4"/>
  <c r="L54" i="4" s="1"/>
  <c r="K54" i="4"/>
  <c r="I54" i="4"/>
  <c r="N358" i="4" l="1"/>
  <c r="F357" i="4"/>
  <c r="L357" i="4" s="1"/>
  <c r="L365" i="4"/>
  <c r="L366" i="4"/>
  <c r="H331" i="4"/>
  <c r="H332" i="4"/>
  <c r="H284" i="4"/>
  <c r="N284" i="4" s="1"/>
  <c r="H286" i="4"/>
  <c r="N286" i="4" s="1"/>
  <c r="L130" i="4" l="1"/>
  <c r="L129" i="4" l="1"/>
  <c r="K129" i="4"/>
  <c r="N129" i="4" s="1"/>
  <c r="L140" i="4"/>
  <c r="L142" i="4"/>
  <c r="K142" i="4"/>
  <c r="L146" i="4"/>
  <c r="L145" i="4" s="1"/>
  <c r="L152" i="4"/>
  <c r="H152" i="4"/>
  <c r="N152" i="4" s="1"/>
  <c r="L160" i="4"/>
  <c r="N167" i="4"/>
  <c r="L170" i="4"/>
  <c r="H171" i="4"/>
  <c r="L171" i="4"/>
  <c r="H168" i="4"/>
  <c r="L168" i="4"/>
  <c r="N168" i="4" s="1"/>
  <c r="L169" i="4"/>
  <c r="N169" i="4" s="1"/>
  <c r="H169" i="4"/>
  <c r="L173" i="4"/>
  <c r="L174" i="4"/>
  <c r="F172" i="4"/>
  <c r="L172" i="4" s="1"/>
  <c r="H160" i="4"/>
  <c r="N160" i="4" s="1"/>
  <c r="L147" i="4"/>
  <c r="L148" i="4"/>
  <c r="H147" i="4"/>
  <c r="N147" i="4" s="1"/>
  <c r="H148" i="4"/>
  <c r="N148" i="4" s="1"/>
  <c r="H146" i="4"/>
  <c r="N146" i="4" s="1"/>
  <c r="H142" i="4"/>
  <c r="N142" i="4" s="1"/>
  <c r="H140" i="4"/>
  <c r="N140" i="4" s="1"/>
  <c r="H134" i="4"/>
  <c r="F128" i="4"/>
  <c r="H130" i="4"/>
  <c r="L97" i="4"/>
  <c r="L88" i="4"/>
  <c r="L89" i="4"/>
  <c r="L110" i="4"/>
  <c r="L108" i="4" s="1"/>
  <c r="L107" i="4" s="1"/>
  <c r="L98" i="4"/>
  <c r="K98" i="4"/>
  <c r="L117" i="4"/>
  <c r="F117" i="4"/>
  <c r="H117" i="4" s="1"/>
  <c r="H118" i="4"/>
  <c r="N118" i="4" s="1"/>
  <c r="L120" i="4"/>
  <c r="F111" i="4"/>
  <c r="L111" i="4" s="1"/>
  <c r="L112" i="4"/>
  <c r="L113" i="4"/>
  <c r="H112" i="4"/>
  <c r="N112" i="4" s="1"/>
  <c r="H113" i="4"/>
  <c r="H111" i="4" s="1"/>
  <c r="H110" i="4"/>
  <c r="N110" i="4" s="1"/>
  <c r="H97" i="4"/>
  <c r="N97" i="4" s="1"/>
  <c r="H88" i="4"/>
  <c r="N88" i="4" s="1"/>
  <c r="H89" i="4"/>
  <c r="N89" i="4" s="1"/>
  <c r="H65" i="4"/>
  <c r="N65" i="4" s="1"/>
  <c r="H66" i="4"/>
  <c r="N66" i="4" s="1"/>
  <c r="F54" i="4"/>
  <c r="H51" i="4"/>
  <c r="N51" i="4" s="1"/>
  <c r="H42" i="4"/>
  <c r="H41" i="4" s="1"/>
  <c r="K32" i="4"/>
  <c r="N32" i="4" s="1"/>
  <c r="I31" i="4"/>
  <c r="H26" i="4"/>
  <c r="N26" i="4" s="1"/>
  <c r="H27" i="4"/>
  <c r="N27" i="4" s="1"/>
  <c r="H30" i="4"/>
  <c r="N30" i="4" s="1"/>
  <c r="M366" i="4"/>
  <c r="N366" i="4"/>
  <c r="G365" i="4"/>
  <c r="G364" i="4"/>
  <c r="I362" i="4"/>
  <c r="I361" i="4" s="1"/>
  <c r="I360" i="4" s="1"/>
  <c r="N361" i="4"/>
  <c r="N360" i="4" s="1"/>
  <c r="F361" i="4"/>
  <c r="F360" i="4"/>
  <c r="M358" i="4"/>
  <c r="H357" i="4"/>
  <c r="K357" i="4"/>
  <c r="K356" i="4" s="1"/>
  <c r="I357" i="4"/>
  <c r="G357" i="4"/>
  <c r="G356" i="4" s="1"/>
  <c r="F356" i="4"/>
  <c r="L356" i="4"/>
  <c r="J356" i="4"/>
  <c r="I356" i="4"/>
  <c r="N354" i="4"/>
  <c r="M354" i="4"/>
  <c r="L354" i="4"/>
  <c r="K354" i="4"/>
  <c r="I354" i="4"/>
  <c r="H354" i="4"/>
  <c r="H350" i="4" s="1"/>
  <c r="G354" i="4"/>
  <c r="F354" i="4"/>
  <c r="F350" i="4" s="1"/>
  <c r="N351" i="4"/>
  <c r="L351" i="4"/>
  <c r="L350" i="4" s="1"/>
  <c r="K351" i="4"/>
  <c r="I351" i="4"/>
  <c r="N350" i="4"/>
  <c r="M350" i="4"/>
  <c r="I350" i="4"/>
  <c r="G350" i="4"/>
  <c r="N346" i="4"/>
  <c r="M346" i="4"/>
  <c r="L346" i="4"/>
  <c r="K346" i="4"/>
  <c r="I346" i="4"/>
  <c r="I345" i="4" s="1"/>
  <c r="I344" i="4" s="1"/>
  <c r="H346" i="4"/>
  <c r="G346" i="4"/>
  <c r="G345" i="4" s="1"/>
  <c r="F346" i="4"/>
  <c r="N345" i="4"/>
  <c r="M345" i="4"/>
  <c r="L345" i="4"/>
  <c r="K345" i="4"/>
  <c r="J345" i="4"/>
  <c r="H345" i="4"/>
  <c r="F345" i="4"/>
  <c r="J344" i="4"/>
  <c r="N343" i="4"/>
  <c r="L343" i="4"/>
  <c r="H343" i="4"/>
  <c r="H342" i="4" s="1"/>
  <c r="F343" i="4"/>
  <c r="N342" i="4"/>
  <c r="M342" i="4"/>
  <c r="L342" i="4"/>
  <c r="K342" i="4"/>
  <c r="I342" i="4"/>
  <c r="G342" i="4"/>
  <c r="F342" i="4"/>
  <c r="N341" i="4"/>
  <c r="L341" i="4"/>
  <c r="H341" i="4"/>
  <c r="H340" i="4" s="1"/>
  <c r="H339" i="4" s="1"/>
  <c r="H338" i="4" s="1"/>
  <c r="F341" i="4"/>
  <c r="N340" i="4"/>
  <c r="M340" i="4"/>
  <c r="L340" i="4"/>
  <c r="K340" i="4"/>
  <c r="I340" i="4"/>
  <c r="I339" i="4" s="1"/>
  <c r="I338" i="4" s="1"/>
  <c r="G340" i="4"/>
  <c r="F340" i="4"/>
  <c r="N339" i="4"/>
  <c r="N338" i="4" s="1"/>
  <c r="M339" i="4"/>
  <c r="L339" i="4"/>
  <c r="L338" i="4" s="1"/>
  <c r="K339" i="4"/>
  <c r="J339" i="4"/>
  <c r="J338" i="4" s="1"/>
  <c r="G339" i="4"/>
  <c r="F339" i="4"/>
  <c r="F338" i="4" s="1"/>
  <c r="M338" i="4"/>
  <c r="K338" i="4"/>
  <c r="G338" i="4"/>
  <c r="N336" i="4"/>
  <c r="M336" i="4"/>
  <c r="L336" i="4"/>
  <c r="K336" i="4"/>
  <c r="I336" i="4"/>
  <c r="H336" i="4"/>
  <c r="H335" i="4" s="1"/>
  <c r="H334" i="4" s="1"/>
  <c r="G336" i="4"/>
  <c r="G335" i="4" s="1"/>
  <c r="G334" i="4" s="1"/>
  <c r="F336" i="4"/>
  <c r="N335" i="4"/>
  <c r="M335" i="4"/>
  <c r="L335" i="4"/>
  <c r="L334" i="4" s="1"/>
  <c r="K335" i="4"/>
  <c r="K334" i="4" s="1"/>
  <c r="J335" i="4"/>
  <c r="I335" i="4"/>
  <c r="I334" i="4" s="1"/>
  <c r="F335" i="4"/>
  <c r="F334" i="4" s="1"/>
  <c r="N334" i="4"/>
  <c r="M334" i="4"/>
  <c r="J334" i="4"/>
  <c r="M332" i="4"/>
  <c r="N332" i="4"/>
  <c r="M331" i="4"/>
  <c r="N331" i="4"/>
  <c r="M330" i="4"/>
  <c r="N330" i="4" s="1"/>
  <c r="N329" i="4" s="1"/>
  <c r="H330" i="4"/>
  <c r="L329" i="4"/>
  <c r="K329" i="4"/>
  <c r="K328" i="4" s="1"/>
  <c r="K327" i="4" s="1"/>
  <c r="I329" i="4"/>
  <c r="H329" i="4"/>
  <c r="G329" i="4"/>
  <c r="G328" i="4" s="1"/>
  <c r="M328" i="4" s="1"/>
  <c r="F329" i="4"/>
  <c r="I328" i="4"/>
  <c r="J327" i="4"/>
  <c r="I327" i="4"/>
  <c r="N325" i="4"/>
  <c r="M325" i="4"/>
  <c r="L325" i="4"/>
  <c r="K325" i="4"/>
  <c r="I325" i="4"/>
  <c r="H325" i="4"/>
  <c r="G325" i="4"/>
  <c r="F325" i="4"/>
  <c r="N324" i="4"/>
  <c r="M324" i="4"/>
  <c r="L324" i="4"/>
  <c r="K324" i="4"/>
  <c r="I324" i="4"/>
  <c r="H324" i="4"/>
  <c r="H323" i="4" s="1"/>
  <c r="G324" i="4"/>
  <c r="F324" i="4"/>
  <c r="N323" i="4"/>
  <c r="M323" i="4"/>
  <c r="L323" i="4"/>
  <c r="K323" i="4"/>
  <c r="J323" i="4"/>
  <c r="I323" i="4"/>
  <c r="G323" i="4"/>
  <c r="F323" i="4"/>
  <c r="N320" i="4"/>
  <c r="M320" i="4"/>
  <c r="L320" i="4"/>
  <c r="K320" i="4"/>
  <c r="I320" i="4"/>
  <c r="H320" i="4"/>
  <c r="G320" i="4"/>
  <c r="F320" i="4"/>
  <c r="N319" i="4"/>
  <c r="M319" i="4"/>
  <c r="L319" i="4"/>
  <c r="K319" i="4"/>
  <c r="I319" i="4"/>
  <c r="H319" i="4"/>
  <c r="G319" i="4"/>
  <c r="F319" i="4"/>
  <c r="N317" i="4"/>
  <c r="M317" i="4"/>
  <c r="L317" i="4"/>
  <c r="K317" i="4"/>
  <c r="I317" i="4"/>
  <c r="H317" i="4"/>
  <c r="G317" i="4"/>
  <c r="F317" i="4"/>
  <c r="N316" i="4"/>
  <c r="M316" i="4"/>
  <c r="L316" i="4"/>
  <c r="K316" i="4"/>
  <c r="I316" i="4"/>
  <c r="H316" i="4"/>
  <c r="G316" i="4"/>
  <c r="F316" i="4"/>
  <c r="N313" i="4"/>
  <c r="M313" i="4"/>
  <c r="L313" i="4"/>
  <c r="K313" i="4"/>
  <c r="I313" i="4"/>
  <c r="H313" i="4"/>
  <c r="G313" i="4"/>
  <c r="F313" i="4"/>
  <c r="N312" i="4"/>
  <c r="M312" i="4"/>
  <c r="L312" i="4"/>
  <c r="K312" i="4"/>
  <c r="I312" i="4"/>
  <c r="I311" i="4" s="1"/>
  <c r="H312" i="4"/>
  <c r="G312" i="4"/>
  <c r="F312" i="4"/>
  <c r="N311" i="4"/>
  <c r="M311" i="4"/>
  <c r="L311" i="4"/>
  <c r="K311" i="4"/>
  <c r="J311" i="4"/>
  <c r="H311" i="4"/>
  <c r="G311" i="4"/>
  <c r="F311" i="4"/>
  <c r="N309" i="4"/>
  <c r="M309" i="4"/>
  <c r="L309" i="4"/>
  <c r="K309" i="4"/>
  <c r="I309" i="4"/>
  <c r="H309" i="4"/>
  <c r="G309" i="4"/>
  <c r="F309" i="4"/>
  <c r="L308" i="4"/>
  <c r="L307" i="4" s="1"/>
  <c r="L306" i="4" s="1"/>
  <c r="L305" i="4" s="1"/>
  <c r="H307" i="4"/>
  <c r="F308" i="4"/>
  <c r="F307" i="4" s="1"/>
  <c r="F306" i="4" s="1"/>
  <c r="F305" i="4" s="1"/>
  <c r="N307" i="4"/>
  <c r="N306" i="4" s="1"/>
  <c r="N305" i="4" s="1"/>
  <c r="M307" i="4"/>
  <c r="M306" i="4" s="1"/>
  <c r="M305" i="4" s="1"/>
  <c r="K307" i="4"/>
  <c r="K306" i="4" s="1"/>
  <c r="K305" i="4" s="1"/>
  <c r="I307" i="4"/>
  <c r="G307" i="4"/>
  <c r="G306" i="4" s="1"/>
  <c r="G305" i="4" s="1"/>
  <c r="I306" i="4"/>
  <c r="I305" i="4" s="1"/>
  <c r="J305" i="4"/>
  <c r="N304" i="4"/>
  <c r="L304" i="4"/>
  <c r="H304" i="4"/>
  <c r="F304" i="4"/>
  <c r="M303" i="4"/>
  <c r="N303" i="4" s="1"/>
  <c r="L303" i="4"/>
  <c r="K302" i="4"/>
  <c r="I302" i="4"/>
  <c r="H302" i="4"/>
  <c r="G302" i="4"/>
  <c r="N299" i="4"/>
  <c r="M299" i="4"/>
  <c r="L299" i="4"/>
  <c r="K299" i="4"/>
  <c r="K298" i="4" s="1"/>
  <c r="I299" i="4"/>
  <c r="I298" i="4" s="1"/>
  <c r="H299" i="4"/>
  <c r="G299" i="4"/>
  <c r="F299" i="4"/>
  <c r="M296" i="4"/>
  <c r="M295" i="4"/>
  <c r="N294" i="4" s="1"/>
  <c r="N293" i="4" s="1"/>
  <c r="L294" i="4"/>
  <c r="L293" i="4" s="1"/>
  <c r="K294" i="4"/>
  <c r="K293" i="4" s="1"/>
  <c r="K292" i="4" s="1"/>
  <c r="I294" i="4"/>
  <c r="G294" i="4"/>
  <c r="G293" i="4" s="1"/>
  <c r="F294" i="4"/>
  <c r="F293" i="4" s="1"/>
  <c r="I293" i="4"/>
  <c r="J292" i="4"/>
  <c r="J291" i="4" s="1"/>
  <c r="N288" i="4"/>
  <c r="M288" i="4"/>
  <c r="L288" i="4"/>
  <c r="H288" i="4"/>
  <c r="G288" i="4"/>
  <c r="F288" i="4"/>
  <c r="N287" i="4"/>
  <c r="M287" i="4"/>
  <c r="L287" i="4"/>
  <c r="J287" i="4"/>
  <c r="H287" i="4"/>
  <c r="G287" i="4"/>
  <c r="F287" i="4"/>
  <c r="M286" i="4"/>
  <c r="G285" i="4"/>
  <c r="M285" i="4" s="1"/>
  <c r="N285" i="4" s="1"/>
  <c r="G284" i="4"/>
  <c r="M284" i="4" s="1"/>
  <c r="I283" i="4"/>
  <c r="F283" i="4"/>
  <c r="L283" i="4" s="1"/>
  <c r="M282" i="4"/>
  <c r="K282" i="4"/>
  <c r="G282" i="4"/>
  <c r="F282" i="4"/>
  <c r="M281" i="4"/>
  <c r="F279" i="4"/>
  <c r="M280" i="4"/>
  <c r="L279" i="4"/>
  <c r="K279" i="4"/>
  <c r="I279" i="4"/>
  <c r="G279" i="4"/>
  <c r="G278" i="4" s="1"/>
  <c r="G277" i="4" s="1"/>
  <c r="G276" i="4" s="1"/>
  <c r="J277" i="4"/>
  <c r="J276" i="4" s="1"/>
  <c r="N273" i="4"/>
  <c r="M273" i="4"/>
  <c r="L273" i="4"/>
  <c r="K273" i="4"/>
  <c r="I273" i="4"/>
  <c r="H273" i="4"/>
  <c r="G273" i="4"/>
  <c r="F273" i="4"/>
  <c r="N272" i="4"/>
  <c r="M272" i="4"/>
  <c r="L272" i="4"/>
  <c r="K272" i="4"/>
  <c r="I272" i="4"/>
  <c r="I271" i="4" s="1"/>
  <c r="H272" i="4"/>
  <c r="H271" i="4" s="1"/>
  <c r="G272" i="4"/>
  <c r="F272" i="4"/>
  <c r="F271" i="4" s="1"/>
  <c r="N271" i="4"/>
  <c r="M271" i="4"/>
  <c r="L271" i="4"/>
  <c r="K271" i="4"/>
  <c r="J271" i="4"/>
  <c r="G271" i="4"/>
  <c r="N269" i="4"/>
  <c r="M269" i="4"/>
  <c r="L269" i="4"/>
  <c r="K269" i="4"/>
  <c r="I269" i="4"/>
  <c r="H269" i="4"/>
  <c r="G269" i="4"/>
  <c r="F269" i="4"/>
  <c r="N268" i="4"/>
  <c r="M268" i="4"/>
  <c r="L268" i="4"/>
  <c r="K268" i="4"/>
  <c r="I268" i="4"/>
  <c r="I267" i="4" s="1"/>
  <c r="H268" i="4"/>
  <c r="G268" i="4"/>
  <c r="F268" i="4"/>
  <c r="F267" i="4" s="1"/>
  <c r="N267" i="4"/>
  <c r="M267" i="4"/>
  <c r="L267" i="4"/>
  <c r="K267" i="4"/>
  <c r="J267" i="4"/>
  <c r="H267" i="4"/>
  <c r="G267" i="4"/>
  <c r="N264" i="4"/>
  <c r="M264" i="4"/>
  <c r="L264" i="4"/>
  <c r="K264" i="4"/>
  <c r="I264" i="4"/>
  <c r="H264" i="4"/>
  <c r="G264" i="4"/>
  <c r="F264" i="4"/>
  <c r="N262" i="4"/>
  <c r="M262" i="4"/>
  <c r="L262" i="4"/>
  <c r="K262" i="4"/>
  <c r="I262" i="4"/>
  <c r="H262" i="4"/>
  <c r="G262" i="4"/>
  <c r="F262" i="4"/>
  <c r="N261" i="4"/>
  <c r="M261" i="4"/>
  <c r="L261" i="4"/>
  <c r="K261" i="4"/>
  <c r="I261" i="4"/>
  <c r="H261" i="4"/>
  <c r="H260" i="4" s="1"/>
  <c r="H259" i="4" s="1"/>
  <c r="G261" i="4"/>
  <c r="G260" i="4" s="1"/>
  <c r="F261" i="4"/>
  <c r="F260" i="4" s="1"/>
  <c r="N260" i="4"/>
  <c r="M260" i="4"/>
  <c r="M259" i="4" s="1"/>
  <c r="L260" i="4"/>
  <c r="K260" i="4"/>
  <c r="K259" i="4" s="1"/>
  <c r="J260" i="4"/>
  <c r="I260" i="4"/>
  <c r="N259" i="4"/>
  <c r="J259" i="4"/>
  <c r="N253" i="4"/>
  <c r="M253" i="4"/>
  <c r="M252" i="4" s="1"/>
  <c r="M248" i="4" s="1"/>
  <c r="L253" i="4"/>
  <c r="K253" i="4"/>
  <c r="I253" i="4"/>
  <c r="H253" i="4"/>
  <c r="H252" i="4" s="1"/>
  <c r="G253" i="4"/>
  <c r="F253" i="4"/>
  <c r="N252" i="4"/>
  <c r="L252" i="4"/>
  <c r="K252" i="4"/>
  <c r="I252" i="4"/>
  <c r="G252" i="4"/>
  <c r="F252" i="4"/>
  <c r="N250" i="4"/>
  <c r="M250" i="4"/>
  <c r="L250" i="4"/>
  <c r="K250" i="4"/>
  <c r="I250" i="4"/>
  <c r="H250" i="4"/>
  <c r="H249" i="4" s="1"/>
  <c r="G250" i="4"/>
  <c r="G249" i="4" s="1"/>
  <c r="G248" i="4" s="1"/>
  <c r="F250" i="4"/>
  <c r="F249" i="4" s="1"/>
  <c r="F248" i="4" s="1"/>
  <c r="N249" i="4"/>
  <c r="M249" i="4"/>
  <c r="L249" i="4"/>
  <c r="K249" i="4"/>
  <c r="K248" i="4" s="1"/>
  <c r="I249" i="4"/>
  <c r="I248" i="4" s="1"/>
  <c r="N248" i="4"/>
  <c r="J248" i="4"/>
  <c r="N246" i="4"/>
  <c r="M246" i="4"/>
  <c r="L246" i="4"/>
  <c r="L245" i="4" s="1"/>
  <c r="L244" i="4" s="1"/>
  <c r="K246" i="4"/>
  <c r="I246" i="4"/>
  <c r="I245" i="4" s="1"/>
  <c r="I244" i="4" s="1"/>
  <c r="H246" i="4"/>
  <c r="G246" i="4"/>
  <c r="G245" i="4" s="1"/>
  <c r="G244" i="4" s="1"/>
  <c r="F246" i="4"/>
  <c r="N245" i="4"/>
  <c r="N244" i="4" s="1"/>
  <c r="M245" i="4"/>
  <c r="M244" i="4" s="1"/>
  <c r="K245" i="4"/>
  <c r="K244" i="4" s="1"/>
  <c r="H245" i="4"/>
  <c r="H244" i="4" s="1"/>
  <c r="F245" i="4"/>
  <c r="F244" i="4" s="1"/>
  <c r="J244" i="4"/>
  <c r="N242" i="4"/>
  <c r="M242" i="4"/>
  <c r="L242" i="4"/>
  <c r="K242" i="4"/>
  <c r="I242" i="4"/>
  <c r="H242" i="4"/>
  <c r="G242" i="4"/>
  <c r="F242" i="4"/>
  <c r="M241" i="4"/>
  <c r="N240" i="4" s="1"/>
  <c r="N239" i="4" s="1"/>
  <c r="N238" i="4" s="1"/>
  <c r="L240" i="4"/>
  <c r="K240" i="4"/>
  <c r="K239" i="4" s="1"/>
  <c r="K238" i="4" s="1"/>
  <c r="I240" i="4"/>
  <c r="H240" i="4"/>
  <c r="G240" i="4"/>
  <c r="F240" i="4"/>
  <c r="F239" i="4" s="1"/>
  <c r="F238" i="4" s="1"/>
  <c r="I239" i="4"/>
  <c r="H239" i="4"/>
  <c r="H238" i="4" s="1"/>
  <c r="I238" i="4"/>
  <c r="M237" i="4"/>
  <c r="N236" i="4" s="1"/>
  <c r="N235" i="4" s="1"/>
  <c r="N234" i="4" s="1"/>
  <c r="H236" i="4"/>
  <c r="H235" i="4" s="1"/>
  <c r="H234" i="4" s="1"/>
  <c r="L236" i="4"/>
  <c r="K236" i="4"/>
  <c r="I236" i="4"/>
  <c r="I235" i="4" s="1"/>
  <c r="I234" i="4" s="1"/>
  <c r="F236" i="4"/>
  <c r="L235" i="4"/>
  <c r="K235" i="4"/>
  <c r="K234" i="4" s="1"/>
  <c r="F235" i="4"/>
  <c r="F234" i="4" s="1"/>
  <c r="L234" i="4"/>
  <c r="N229" i="4"/>
  <c r="L229" i="4"/>
  <c r="L228" i="4" s="1"/>
  <c r="L227" i="4" s="1"/>
  <c r="H229" i="4"/>
  <c r="F229" i="4"/>
  <c r="F228" i="4" s="1"/>
  <c r="F227" i="4" s="1"/>
  <c r="N228" i="4"/>
  <c r="N227" i="4" s="1"/>
  <c r="M228" i="4"/>
  <c r="M227" i="4" s="1"/>
  <c r="K228" i="4"/>
  <c r="K227" i="4" s="1"/>
  <c r="I228" i="4"/>
  <c r="I227" i="4" s="1"/>
  <c r="H228" i="4"/>
  <c r="G228" i="4"/>
  <c r="G227" i="4" s="1"/>
  <c r="H227" i="4"/>
  <c r="N226" i="4"/>
  <c r="L226" i="4"/>
  <c r="L225" i="4" s="1"/>
  <c r="L224" i="4" s="1"/>
  <c r="H226" i="4"/>
  <c r="F226" i="4"/>
  <c r="F225" i="4" s="1"/>
  <c r="F224" i="4" s="1"/>
  <c r="N225" i="4"/>
  <c r="N224" i="4" s="1"/>
  <c r="M225" i="4"/>
  <c r="M224" i="4" s="1"/>
  <c r="K225" i="4"/>
  <c r="K224" i="4" s="1"/>
  <c r="I225" i="4"/>
  <c r="I224" i="4" s="1"/>
  <c r="H225" i="4"/>
  <c r="H224" i="4" s="1"/>
  <c r="G225" i="4"/>
  <c r="G224" i="4" s="1"/>
  <c r="N222" i="4"/>
  <c r="M222" i="4"/>
  <c r="L222" i="4"/>
  <c r="K222" i="4"/>
  <c r="I222" i="4"/>
  <c r="H222" i="4"/>
  <c r="G222" i="4"/>
  <c r="F222" i="4"/>
  <c r="M221" i="4"/>
  <c r="L220" i="4"/>
  <c r="K220" i="4"/>
  <c r="I220" i="4"/>
  <c r="F220" i="4"/>
  <c r="M217" i="4"/>
  <c r="L216" i="4"/>
  <c r="K216" i="4"/>
  <c r="I216" i="4"/>
  <c r="I215" i="4" s="1"/>
  <c r="F216" i="4"/>
  <c r="F215" i="4" s="1"/>
  <c r="K215" i="4"/>
  <c r="J214" i="4"/>
  <c r="J213" i="4" s="1"/>
  <c r="N211" i="4"/>
  <c r="M211" i="4"/>
  <c r="M210" i="4" s="1"/>
  <c r="M209" i="4" s="1"/>
  <c r="L211" i="4"/>
  <c r="K211" i="4"/>
  <c r="K210" i="4" s="1"/>
  <c r="K209" i="4" s="1"/>
  <c r="I211" i="4"/>
  <c r="I210" i="4" s="1"/>
  <c r="I209" i="4" s="1"/>
  <c r="H211" i="4"/>
  <c r="H210" i="4" s="1"/>
  <c r="H209" i="4" s="1"/>
  <c r="G211" i="4"/>
  <c r="F211" i="4"/>
  <c r="F210" i="4" s="1"/>
  <c r="F209" i="4" s="1"/>
  <c r="N210" i="4"/>
  <c r="N209" i="4" s="1"/>
  <c r="L210" i="4"/>
  <c r="L209" i="4" s="1"/>
  <c r="G210" i="4"/>
  <c r="G209" i="4" s="1"/>
  <c r="J209" i="4"/>
  <c r="N207" i="4"/>
  <c r="M207" i="4"/>
  <c r="L207" i="4"/>
  <c r="K207" i="4"/>
  <c r="I207" i="4"/>
  <c r="H207" i="4"/>
  <c r="H206" i="4" s="1"/>
  <c r="H205" i="4" s="1"/>
  <c r="G207" i="4"/>
  <c r="G206" i="4" s="1"/>
  <c r="G205" i="4" s="1"/>
  <c r="F207" i="4"/>
  <c r="F206" i="4" s="1"/>
  <c r="F205" i="4" s="1"/>
  <c r="N206" i="4"/>
  <c r="N205" i="4" s="1"/>
  <c r="M206" i="4"/>
  <c r="M205" i="4" s="1"/>
  <c r="L206" i="4"/>
  <c r="L205" i="4" s="1"/>
  <c r="K206" i="4"/>
  <c r="K205" i="4" s="1"/>
  <c r="I206" i="4"/>
  <c r="I205" i="4" s="1"/>
  <c r="J205" i="4"/>
  <c r="J204" i="4"/>
  <c r="M203" i="4"/>
  <c r="N203" i="4" s="1"/>
  <c r="N202" i="4" s="1"/>
  <c r="N201" i="4" s="1"/>
  <c r="N200" i="4" s="1"/>
  <c r="L203" i="4"/>
  <c r="H203" i="4"/>
  <c r="H202" i="4" s="1"/>
  <c r="H201" i="4" s="1"/>
  <c r="H200" i="4" s="1"/>
  <c r="M202" i="4"/>
  <c r="M201" i="4" s="1"/>
  <c r="M200" i="4" s="1"/>
  <c r="L202" i="4"/>
  <c r="L201" i="4" s="1"/>
  <c r="L200" i="4" s="1"/>
  <c r="K202" i="4"/>
  <c r="K201" i="4" s="1"/>
  <c r="K200" i="4" s="1"/>
  <c r="I202" i="4"/>
  <c r="I201" i="4" s="1"/>
  <c r="I200" i="4" s="1"/>
  <c r="G202" i="4"/>
  <c r="G201" i="4" s="1"/>
  <c r="G200" i="4" s="1"/>
  <c r="F202" i="4"/>
  <c r="F201" i="4" s="1"/>
  <c r="F200" i="4" s="1"/>
  <c r="J200" i="4"/>
  <c r="N198" i="4"/>
  <c r="N197" i="4" s="1"/>
  <c r="N196" i="4" s="1"/>
  <c r="M198" i="4"/>
  <c r="L198" i="4"/>
  <c r="K198" i="4"/>
  <c r="K197" i="4" s="1"/>
  <c r="K196" i="4" s="1"/>
  <c r="I198" i="4"/>
  <c r="I197" i="4" s="1"/>
  <c r="I196" i="4" s="1"/>
  <c r="H198" i="4"/>
  <c r="H197" i="4" s="1"/>
  <c r="H196" i="4" s="1"/>
  <c r="G198" i="4"/>
  <c r="G197" i="4" s="1"/>
  <c r="G196" i="4" s="1"/>
  <c r="F198" i="4"/>
  <c r="F197" i="4" s="1"/>
  <c r="F196" i="4" s="1"/>
  <c r="M197" i="4"/>
  <c r="M196" i="4" s="1"/>
  <c r="L197" i="4"/>
  <c r="L196" i="4" s="1"/>
  <c r="J196" i="4"/>
  <c r="N193" i="4"/>
  <c r="M193" i="4"/>
  <c r="L193" i="4"/>
  <c r="K193" i="4"/>
  <c r="I193" i="4"/>
  <c r="H193" i="4"/>
  <c r="G193" i="4"/>
  <c r="F193" i="4"/>
  <c r="N192" i="4"/>
  <c r="M192" i="4"/>
  <c r="M191" i="4" s="1"/>
  <c r="L192" i="4"/>
  <c r="K192" i="4"/>
  <c r="I192" i="4"/>
  <c r="I191" i="4" s="1"/>
  <c r="H192" i="4"/>
  <c r="H191" i="4" s="1"/>
  <c r="G192" i="4"/>
  <c r="G191" i="4" s="1"/>
  <c r="F192" i="4"/>
  <c r="F191" i="4" s="1"/>
  <c r="N191" i="4"/>
  <c r="L191" i="4"/>
  <c r="K191" i="4"/>
  <c r="J191" i="4"/>
  <c r="J175" i="4" s="1"/>
  <c r="N188" i="4"/>
  <c r="M188" i="4"/>
  <c r="L188" i="4"/>
  <c r="K188" i="4"/>
  <c r="I188" i="4"/>
  <c r="H188" i="4"/>
  <c r="G188" i="4"/>
  <c r="F188" i="4"/>
  <c r="N187" i="4"/>
  <c r="M187" i="4"/>
  <c r="L187" i="4"/>
  <c r="K187" i="4"/>
  <c r="I187" i="4"/>
  <c r="H187" i="4"/>
  <c r="G187" i="4"/>
  <c r="F187" i="4"/>
  <c r="N186" i="4"/>
  <c r="M186" i="4"/>
  <c r="L186" i="4"/>
  <c r="K186" i="4"/>
  <c r="I186" i="4"/>
  <c r="H186" i="4"/>
  <c r="G186" i="4"/>
  <c r="F186" i="4"/>
  <c r="G182" i="4"/>
  <c r="H182" i="4" s="1"/>
  <c r="M174" i="4"/>
  <c r="N174" i="4"/>
  <c r="G173" i="4"/>
  <c r="M173" i="4" s="1"/>
  <c r="M171" i="4"/>
  <c r="G170" i="4"/>
  <c r="M170" i="4" s="1"/>
  <c r="M169" i="4"/>
  <c r="M168" i="4"/>
  <c r="K166" i="4"/>
  <c r="K165" i="4" s="1"/>
  <c r="I166" i="4"/>
  <c r="I165" i="4" s="1"/>
  <c r="G166" i="4"/>
  <c r="G165" i="4" s="1"/>
  <c r="F166" i="4"/>
  <c r="N163" i="4"/>
  <c r="M163" i="4"/>
  <c r="L163" i="4"/>
  <c r="L162" i="4" s="1"/>
  <c r="K163" i="4"/>
  <c r="K162" i="4" s="1"/>
  <c r="I163" i="4"/>
  <c r="I162" i="4" s="1"/>
  <c r="H163" i="4"/>
  <c r="H162" i="4" s="1"/>
  <c r="G163" i="4"/>
  <c r="G162" i="4" s="1"/>
  <c r="F163" i="4"/>
  <c r="F162" i="4" s="1"/>
  <c r="N162" i="4"/>
  <c r="M162" i="4"/>
  <c r="J161" i="4"/>
  <c r="L159" i="4"/>
  <c r="H159" i="4"/>
  <c r="F159" i="4"/>
  <c r="K159" i="4"/>
  <c r="I159" i="4"/>
  <c r="N157" i="4"/>
  <c r="M157" i="4"/>
  <c r="L157" i="4"/>
  <c r="K157" i="4"/>
  <c r="I157" i="4"/>
  <c r="I156" i="4" s="1"/>
  <c r="I155" i="4" s="1"/>
  <c r="H157" i="4"/>
  <c r="G157" i="4"/>
  <c r="F157" i="4"/>
  <c r="K156" i="4"/>
  <c r="K155" i="4" s="1"/>
  <c r="J155" i="4"/>
  <c r="N151" i="4"/>
  <c r="M152" i="4"/>
  <c r="M151" i="4" s="1"/>
  <c r="L151" i="4"/>
  <c r="H151" i="4"/>
  <c r="F151" i="4"/>
  <c r="K151" i="4"/>
  <c r="I151" i="4"/>
  <c r="G151" i="4"/>
  <c r="N149" i="4"/>
  <c r="M149" i="4"/>
  <c r="L149" i="4"/>
  <c r="K149" i="4"/>
  <c r="I149" i="4"/>
  <c r="H149" i="4"/>
  <c r="G149" i="4"/>
  <c r="F149" i="4"/>
  <c r="M148" i="4"/>
  <c r="M147" i="4"/>
  <c r="M146" i="4"/>
  <c r="K145" i="4"/>
  <c r="I145" i="4"/>
  <c r="G145" i="4"/>
  <c r="F145" i="4"/>
  <c r="N143" i="4"/>
  <c r="M143" i="4"/>
  <c r="L143" i="4"/>
  <c r="K143" i="4"/>
  <c r="I143" i="4"/>
  <c r="H143" i="4"/>
  <c r="G143" i="4"/>
  <c r="F143" i="4"/>
  <c r="M142" i="4"/>
  <c r="K141" i="4"/>
  <c r="L141" i="4"/>
  <c r="J141" i="4"/>
  <c r="J137" i="4" s="1"/>
  <c r="I141" i="4"/>
  <c r="H141" i="4"/>
  <c r="G141" i="4"/>
  <c r="F141" i="4"/>
  <c r="M140" i="4"/>
  <c r="L139" i="4"/>
  <c r="L138" i="4" s="1"/>
  <c r="K139" i="4"/>
  <c r="I139" i="4"/>
  <c r="I138" i="4" s="1"/>
  <c r="I137" i="4" s="1"/>
  <c r="F139" i="4"/>
  <c r="F138" i="4" s="1"/>
  <c r="K136" i="4"/>
  <c r="K135" i="4" s="1"/>
  <c r="I136" i="4"/>
  <c r="L136" i="4" s="1"/>
  <c r="L135" i="4" s="1"/>
  <c r="M135" i="4"/>
  <c r="H135" i="4"/>
  <c r="G135" i="4"/>
  <c r="F135" i="4"/>
  <c r="M134" i="4"/>
  <c r="M133" i="4" s="1"/>
  <c r="K134" i="4"/>
  <c r="I134" i="4"/>
  <c r="H133" i="4"/>
  <c r="K133" i="4"/>
  <c r="G133" i="4"/>
  <c r="F133" i="4"/>
  <c r="N132" i="4"/>
  <c r="N131" i="4" s="1"/>
  <c r="L132" i="4"/>
  <c r="M131" i="4"/>
  <c r="L131" i="4"/>
  <c r="K131" i="4"/>
  <c r="I131" i="4"/>
  <c r="H131" i="4"/>
  <c r="G131" i="4"/>
  <c r="F131" i="4"/>
  <c r="M130" i="4"/>
  <c r="N130" i="4"/>
  <c r="K128" i="4"/>
  <c r="K127" i="4" s="1"/>
  <c r="K126" i="4" s="1"/>
  <c r="M129" i="4"/>
  <c r="J128" i="4"/>
  <c r="J127" i="4" s="1"/>
  <c r="J126" i="4" s="1"/>
  <c r="I128" i="4"/>
  <c r="G128" i="4"/>
  <c r="N125" i="4"/>
  <c r="N124" i="4" s="1"/>
  <c r="N123" i="4" s="1"/>
  <c r="N122" i="4" s="1"/>
  <c r="L125" i="4"/>
  <c r="L124" i="4" s="1"/>
  <c r="L123" i="4" s="1"/>
  <c r="L122" i="4" s="1"/>
  <c r="M124" i="4"/>
  <c r="M123" i="4" s="1"/>
  <c r="M122" i="4" s="1"/>
  <c r="K124" i="4"/>
  <c r="K123" i="4" s="1"/>
  <c r="K122" i="4" s="1"/>
  <c r="I124" i="4"/>
  <c r="I123" i="4" s="1"/>
  <c r="I122" i="4" s="1"/>
  <c r="H124" i="4"/>
  <c r="H123" i="4" s="1"/>
  <c r="H122" i="4" s="1"/>
  <c r="G124" i="4"/>
  <c r="G123" i="4" s="1"/>
  <c r="G122" i="4" s="1"/>
  <c r="F124" i="4"/>
  <c r="F123" i="4" s="1"/>
  <c r="F122" i="4" s="1"/>
  <c r="M120" i="4"/>
  <c r="N120" i="4"/>
  <c r="M118" i="4"/>
  <c r="M117" i="4"/>
  <c r="N115" i="4"/>
  <c r="M115" i="4"/>
  <c r="L115" i="4"/>
  <c r="K115" i="4"/>
  <c r="I115" i="4"/>
  <c r="H115" i="4"/>
  <c r="H114" i="4" s="1"/>
  <c r="G115" i="4"/>
  <c r="F115" i="4"/>
  <c r="F114" i="4" s="1"/>
  <c r="N114" i="4"/>
  <c r="M114" i="4"/>
  <c r="L114" i="4"/>
  <c r="K114" i="4"/>
  <c r="I114" i="4"/>
  <c r="G114" i="4"/>
  <c r="M113" i="4"/>
  <c r="N113" i="4"/>
  <c r="M112" i="4"/>
  <c r="M111" i="4"/>
  <c r="N111" i="4"/>
  <c r="M110" i="4"/>
  <c r="H108" i="4"/>
  <c r="H107" i="4" s="1"/>
  <c r="K108" i="4"/>
  <c r="I108" i="4"/>
  <c r="I107" i="4" s="1"/>
  <c r="G108" i="4"/>
  <c r="G107" i="4" s="1"/>
  <c r="F108" i="4"/>
  <c r="F107" i="4" s="1"/>
  <c r="K107" i="4"/>
  <c r="J106" i="4"/>
  <c r="N105" i="4"/>
  <c r="L105" i="4"/>
  <c r="L104" i="4" s="1"/>
  <c r="L103" i="4" s="1"/>
  <c r="H105" i="4"/>
  <c r="F105" i="4"/>
  <c r="N104" i="4"/>
  <c r="N103" i="4" s="1"/>
  <c r="M104" i="4"/>
  <c r="M103" i="4" s="1"/>
  <c r="K104" i="4"/>
  <c r="K103" i="4" s="1"/>
  <c r="I104" i="4"/>
  <c r="I103" i="4" s="1"/>
  <c r="H104" i="4"/>
  <c r="H103" i="4" s="1"/>
  <c r="G104" i="4"/>
  <c r="G103" i="4" s="1"/>
  <c r="F104" i="4"/>
  <c r="F103" i="4" s="1"/>
  <c r="N101" i="4"/>
  <c r="M101" i="4"/>
  <c r="L101" i="4"/>
  <c r="K101" i="4"/>
  <c r="I101" i="4"/>
  <c r="H101" i="4"/>
  <c r="G101" i="4"/>
  <c r="F101" i="4"/>
  <c r="L100" i="4"/>
  <c r="L99" i="4" s="1"/>
  <c r="M100" i="4"/>
  <c r="M99" i="4" s="1"/>
  <c r="J99" i="4"/>
  <c r="I99" i="4"/>
  <c r="H99" i="4"/>
  <c r="G99" i="4"/>
  <c r="F99" i="4"/>
  <c r="M98" i="4"/>
  <c r="H98" i="4"/>
  <c r="N98" i="4" s="1"/>
  <c r="J97" i="4"/>
  <c r="K97" i="4" s="1"/>
  <c r="K96" i="4" s="1"/>
  <c r="M97" i="4"/>
  <c r="L96" i="4"/>
  <c r="J96" i="4"/>
  <c r="I96" i="4"/>
  <c r="I95" i="4" s="1"/>
  <c r="F96" i="4"/>
  <c r="F95" i="4" s="1"/>
  <c r="N93" i="4"/>
  <c r="N92" i="4" s="1"/>
  <c r="L93" i="4"/>
  <c r="L92" i="4" s="1"/>
  <c r="M92" i="4"/>
  <c r="K92" i="4"/>
  <c r="I92" i="4"/>
  <c r="I87" i="4" s="1"/>
  <c r="I86" i="4" s="1"/>
  <c r="H92" i="4"/>
  <c r="G92" i="4"/>
  <c r="G87" i="4" s="1"/>
  <c r="F92" i="4"/>
  <c r="F87" i="4" s="1"/>
  <c r="F86" i="4" s="1"/>
  <c r="M89" i="4"/>
  <c r="J86" i="4"/>
  <c r="N83" i="4"/>
  <c r="N82" i="4" s="1"/>
  <c r="N81" i="4" s="1"/>
  <c r="M83" i="4"/>
  <c r="M82" i="4" s="1"/>
  <c r="M81" i="4" s="1"/>
  <c r="L83" i="4"/>
  <c r="L82" i="4" s="1"/>
  <c r="L81" i="4" s="1"/>
  <c r="K83" i="4"/>
  <c r="K82" i="4" s="1"/>
  <c r="K81" i="4" s="1"/>
  <c r="I83" i="4"/>
  <c r="I82" i="4" s="1"/>
  <c r="I81" i="4" s="1"/>
  <c r="H83" i="4"/>
  <c r="H82" i="4" s="1"/>
  <c r="H81" i="4" s="1"/>
  <c r="G83" i="4"/>
  <c r="G82" i="4" s="1"/>
  <c r="G81" i="4" s="1"/>
  <c r="F83" i="4"/>
  <c r="F82" i="4" s="1"/>
  <c r="F81" i="4" s="1"/>
  <c r="J81" i="4"/>
  <c r="N79" i="4"/>
  <c r="M79" i="4"/>
  <c r="M78" i="4" s="1"/>
  <c r="L79" i="4"/>
  <c r="L78" i="4" s="1"/>
  <c r="K79" i="4"/>
  <c r="K78" i="4" s="1"/>
  <c r="I79" i="4"/>
  <c r="I78" i="4" s="1"/>
  <c r="H79" i="4"/>
  <c r="H78" i="4" s="1"/>
  <c r="G79" i="4"/>
  <c r="G78" i="4" s="1"/>
  <c r="F79" i="4"/>
  <c r="F78" i="4" s="1"/>
  <c r="N78" i="4"/>
  <c r="N76" i="4"/>
  <c r="M76" i="4"/>
  <c r="L76" i="4"/>
  <c r="K76" i="4"/>
  <c r="I76" i="4"/>
  <c r="I75" i="4" s="1"/>
  <c r="H76" i="4"/>
  <c r="H75" i="4" s="1"/>
  <c r="G76" i="4"/>
  <c r="G75" i="4" s="1"/>
  <c r="F76" i="4"/>
  <c r="F75" i="4" s="1"/>
  <c r="N75" i="4"/>
  <c r="M75" i="4"/>
  <c r="L75" i="4"/>
  <c r="K75" i="4"/>
  <c r="J74" i="4"/>
  <c r="J73" i="4"/>
  <c r="N70" i="4"/>
  <c r="M70" i="4"/>
  <c r="M69" i="4" s="1"/>
  <c r="M68" i="4" s="1"/>
  <c r="L70" i="4"/>
  <c r="K70" i="4"/>
  <c r="I70" i="4"/>
  <c r="H70" i="4"/>
  <c r="G70" i="4"/>
  <c r="F70" i="4"/>
  <c r="N69" i="4"/>
  <c r="N68" i="4" s="1"/>
  <c r="L69" i="4"/>
  <c r="L68" i="4" s="1"/>
  <c r="K69" i="4"/>
  <c r="K68" i="4" s="1"/>
  <c r="I69" i="4"/>
  <c r="I68" i="4" s="1"/>
  <c r="H69" i="4"/>
  <c r="H68" i="4" s="1"/>
  <c r="G69" i="4"/>
  <c r="G68" i="4" s="1"/>
  <c r="F69" i="4"/>
  <c r="F68" i="4" s="1"/>
  <c r="J68" i="4"/>
  <c r="M66" i="4"/>
  <c r="H64" i="4"/>
  <c r="H63" i="4" s="1"/>
  <c r="M65" i="4"/>
  <c r="L64" i="4"/>
  <c r="L63" i="4" s="1"/>
  <c r="K64" i="4"/>
  <c r="I64" i="4"/>
  <c r="I63" i="4" s="1"/>
  <c r="G64" i="4"/>
  <c r="G63" i="4" s="1"/>
  <c r="F64" i="4"/>
  <c r="F63" i="4" s="1"/>
  <c r="K63" i="4"/>
  <c r="N62" i="4"/>
  <c r="L62" i="4"/>
  <c r="N61" i="4"/>
  <c r="L61" i="4"/>
  <c r="N60" i="4"/>
  <c r="L60" i="4"/>
  <c r="N59" i="4"/>
  <c r="N58" i="4" s="1"/>
  <c r="L59" i="4"/>
  <c r="L58" i="4" s="1"/>
  <c r="M58" i="4"/>
  <c r="K58" i="4"/>
  <c r="I58" i="4"/>
  <c r="H58" i="4"/>
  <c r="G58" i="4"/>
  <c r="F58" i="4"/>
  <c r="M57" i="4"/>
  <c r="N56" i="4" s="1"/>
  <c r="H56" i="4"/>
  <c r="L56" i="4"/>
  <c r="K56" i="4"/>
  <c r="I56" i="4"/>
  <c r="G56" i="4"/>
  <c r="F56" i="4"/>
  <c r="M55" i="4"/>
  <c r="J54" i="4"/>
  <c r="N52" i="4"/>
  <c r="L52" i="4"/>
  <c r="H52" i="4"/>
  <c r="F52" i="4"/>
  <c r="M51" i="4"/>
  <c r="N50" i="4"/>
  <c r="L50" i="4"/>
  <c r="H50" i="4"/>
  <c r="H49" i="4" s="1"/>
  <c r="F50" i="4"/>
  <c r="M49" i="4"/>
  <c r="L49" i="4"/>
  <c r="L48" i="4" s="1"/>
  <c r="K49" i="4"/>
  <c r="K48" i="4" s="1"/>
  <c r="I49" i="4"/>
  <c r="G49" i="4"/>
  <c r="N45" i="4"/>
  <c r="M45" i="4"/>
  <c r="L45" i="4"/>
  <c r="K45" i="4"/>
  <c r="I45" i="4"/>
  <c r="H45" i="4"/>
  <c r="G45" i="4"/>
  <c r="F45" i="4"/>
  <c r="N43" i="4"/>
  <c r="M43" i="4"/>
  <c r="L43" i="4"/>
  <c r="K43" i="4"/>
  <c r="I43" i="4"/>
  <c r="H43" i="4"/>
  <c r="G43" i="4"/>
  <c r="F43" i="4"/>
  <c r="N41" i="4"/>
  <c r="N40" i="4" s="1"/>
  <c r="N39" i="4" s="1"/>
  <c r="M42" i="4"/>
  <c r="M41" i="4" s="1"/>
  <c r="M40" i="4" s="1"/>
  <c r="M39" i="4" s="1"/>
  <c r="L41" i="4"/>
  <c r="L40" i="4" s="1"/>
  <c r="L39" i="4" s="1"/>
  <c r="K41" i="4"/>
  <c r="I41" i="4"/>
  <c r="G41" i="4"/>
  <c r="F41" i="4"/>
  <c r="I40" i="4"/>
  <c r="G40" i="4"/>
  <c r="G39" i="4" s="1"/>
  <c r="I39" i="4"/>
  <c r="N35" i="4"/>
  <c r="M35" i="4"/>
  <c r="L35" i="4"/>
  <c r="K35" i="4"/>
  <c r="I35" i="4"/>
  <c r="H35" i="4"/>
  <c r="H34" i="4" s="1"/>
  <c r="H33" i="4" s="1"/>
  <c r="G35" i="4"/>
  <c r="F35" i="4"/>
  <c r="N34" i="4"/>
  <c r="N33" i="4" s="1"/>
  <c r="M34" i="4"/>
  <c r="M33" i="4" s="1"/>
  <c r="L34" i="4"/>
  <c r="L33" i="4" s="1"/>
  <c r="K34" i="4"/>
  <c r="K33" i="4" s="1"/>
  <c r="I34" i="4"/>
  <c r="I33" i="4" s="1"/>
  <c r="G34" i="4"/>
  <c r="G33" i="4" s="1"/>
  <c r="F34" i="4"/>
  <c r="F33" i="4" s="1"/>
  <c r="J33" i="4"/>
  <c r="M32" i="4"/>
  <c r="J31" i="4"/>
  <c r="M30" i="4"/>
  <c r="N29" i="4" s="1"/>
  <c r="L29" i="4"/>
  <c r="K29" i="4"/>
  <c r="I29" i="4"/>
  <c r="H29" i="4"/>
  <c r="G29" i="4"/>
  <c r="F29" i="4"/>
  <c r="K27" i="4"/>
  <c r="M27" i="4"/>
  <c r="M26" i="4"/>
  <c r="L25" i="4"/>
  <c r="L24" i="4" s="1"/>
  <c r="K25" i="4"/>
  <c r="J25" i="4"/>
  <c r="I25" i="4"/>
  <c r="F25" i="4"/>
  <c r="N22" i="4"/>
  <c r="M22" i="4"/>
  <c r="L22" i="4"/>
  <c r="K22" i="4"/>
  <c r="I22" i="4"/>
  <c r="H22" i="4"/>
  <c r="G22" i="4"/>
  <c r="F22" i="4"/>
  <c r="N20" i="4"/>
  <c r="M20" i="4"/>
  <c r="L20" i="4"/>
  <c r="K20" i="4"/>
  <c r="I20" i="4"/>
  <c r="H20" i="4"/>
  <c r="G20" i="4"/>
  <c r="F20" i="4"/>
  <c r="F19" i="4" s="1"/>
  <c r="N19" i="4"/>
  <c r="M19" i="4"/>
  <c r="L19" i="4"/>
  <c r="K19" i="4"/>
  <c r="I19" i="4"/>
  <c r="H19" i="4"/>
  <c r="G19" i="4"/>
  <c r="M327" i="4" l="1"/>
  <c r="G327" i="4"/>
  <c r="K175" i="4"/>
  <c r="N175" i="4" s="1"/>
  <c r="M175" i="4"/>
  <c r="F106" i="4"/>
  <c r="G180" i="4"/>
  <c r="H180" i="4" s="1"/>
  <c r="H175" i="4" s="1"/>
  <c r="H181" i="4"/>
  <c r="H87" i="4"/>
  <c r="N74" i="4"/>
  <c r="N73" i="4" s="1"/>
  <c r="K87" i="4"/>
  <c r="K86" i="4" s="1"/>
  <c r="G172" i="4"/>
  <c r="M172" i="4" s="1"/>
  <c r="M364" i="4"/>
  <c r="H364" i="4"/>
  <c r="N364" i="4" s="1"/>
  <c r="M365" i="4"/>
  <c r="H365" i="4"/>
  <c r="N365" i="4" s="1"/>
  <c r="F74" i="4"/>
  <c r="F73" i="4" s="1"/>
  <c r="I74" i="4"/>
  <c r="L106" i="4"/>
  <c r="K74" i="4"/>
  <c r="K73" i="4" s="1"/>
  <c r="L248" i="4"/>
  <c r="G74" i="4"/>
  <c r="G73" i="4" s="1"/>
  <c r="L74" i="4"/>
  <c r="L73" i="4" s="1"/>
  <c r="H74" i="4"/>
  <c r="H73" i="4" s="1"/>
  <c r="H248" i="4"/>
  <c r="N204" i="4"/>
  <c r="M74" i="4"/>
  <c r="M73" i="4" s="1"/>
  <c r="F94" i="4"/>
  <c r="F85" i="4" s="1"/>
  <c r="H106" i="4"/>
  <c r="F204" i="4"/>
  <c r="K204" i="4"/>
  <c r="I106" i="4"/>
  <c r="L47" i="4"/>
  <c r="L38" i="4" s="1"/>
  <c r="I73" i="4"/>
  <c r="N108" i="4"/>
  <c r="N107" i="4" s="1"/>
  <c r="I161" i="4"/>
  <c r="I204" i="4"/>
  <c r="M204" i="4"/>
  <c r="I214" i="4"/>
  <c r="I213" i="4" s="1"/>
  <c r="I94" i="4"/>
  <c r="I85" i="4" s="1"/>
  <c r="K106" i="4"/>
  <c r="K214" i="4"/>
  <c r="K213" i="4" s="1"/>
  <c r="L18" i="4"/>
  <c r="I48" i="4"/>
  <c r="I47" i="4" s="1"/>
  <c r="N49" i="4"/>
  <c r="F49" i="4"/>
  <c r="F48" i="4" s="1"/>
  <c r="K47" i="4"/>
  <c r="L87" i="4"/>
  <c r="L86" i="4" s="1"/>
  <c r="J95" i="4"/>
  <c r="J94" i="4" s="1"/>
  <c r="J85" i="4" s="1"/>
  <c r="I133" i="4"/>
  <c r="L134" i="4"/>
  <c r="L133" i="4" s="1"/>
  <c r="K137" i="4"/>
  <c r="H156" i="4"/>
  <c r="H155" i="4" s="1"/>
  <c r="F165" i="4"/>
  <c r="F161" i="4" s="1"/>
  <c r="F121" i="4" s="1"/>
  <c r="L167" i="4"/>
  <c r="L166" i="4" s="1"/>
  <c r="L165" i="4" s="1"/>
  <c r="L161" i="4" s="1"/>
  <c r="I175" i="4"/>
  <c r="H282" i="4"/>
  <c r="N283" i="4"/>
  <c r="N282" i="4" s="1"/>
  <c r="L282" i="4"/>
  <c r="G298" i="4"/>
  <c r="H298" i="4"/>
  <c r="N302" i="4"/>
  <c r="F328" i="4"/>
  <c r="H356" i="4"/>
  <c r="H344" i="4" s="1"/>
  <c r="H333" i="4" s="1"/>
  <c r="N357" i="4"/>
  <c r="K31" i="4"/>
  <c r="K24" i="4" s="1"/>
  <c r="L31" i="4"/>
  <c r="F127" i="4"/>
  <c r="F126" i="4" s="1"/>
  <c r="N134" i="4"/>
  <c r="L128" i="4"/>
  <c r="L278" i="4"/>
  <c r="L277" i="4" s="1"/>
  <c r="L276" i="4" s="1"/>
  <c r="L239" i="4"/>
  <c r="L238" i="4" s="1"/>
  <c r="H328" i="4"/>
  <c r="H327" i="4" s="1"/>
  <c r="G292" i="4"/>
  <c r="G291" i="4" s="1"/>
  <c r="M302" i="4"/>
  <c r="M298" i="4" s="1"/>
  <c r="H294" i="4"/>
  <c r="H293" i="4" s="1"/>
  <c r="H292" i="4" s="1"/>
  <c r="H279" i="4"/>
  <c r="M240" i="4"/>
  <c r="M239" i="4" s="1"/>
  <c r="M238" i="4" s="1"/>
  <c r="M236" i="4"/>
  <c r="M235" i="4" s="1"/>
  <c r="M234" i="4" s="1"/>
  <c r="M182" i="4"/>
  <c r="N182" i="4" s="1"/>
  <c r="N141" i="4"/>
  <c r="F137" i="4"/>
  <c r="L95" i="4"/>
  <c r="L94" i="4" s="1"/>
  <c r="G106" i="4"/>
  <c r="N117" i="4"/>
  <c r="M108" i="4"/>
  <c r="M107" i="4" s="1"/>
  <c r="M106" i="4" s="1"/>
  <c r="M64" i="4"/>
  <c r="M63" i="4" s="1"/>
  <c r="K40" i="4"/>
  <c r="K39" i="4" s="1"/>
  <c r="I38" i="4"/>
  <c r="N145" i="4"/>
  <c r="M145" i="4"/>
  <c r="M128" i="4"/>
  <c r="M127" i="4" s="1"/>
  <c r="M126" i="4" s="1"/>
  <c r="N171" i="4"/>
  <c r="H170" i="4"/>
  <c r="N170" i="4" s="1"/>
  <c r="G48" i="4"/>
  <c r="N64" i="4"/>
  <c r="N63" i="4" s="1"/>
  <c r="G86" i="4"/>
  <c r="M88" i="4"/>
  <c r="M87" i="4" s="1"/>
  <c r="N87" i="4" s="1"/>
  <c r="J121" i="4"/>
  <c r="F214" i="4"/>
  <c r="F213" i="4" s="1"/>
  <c r="I24" i="4"/>
  <c r="I18" i="4" s="1"/>
  <c r="K291" i="4"/>
  <c r="H129" i="4"/>
  <c r="H128" i="4" s="1"/>
  <c r="M141" i="4"/>
  <c r="H145" i="4"/>
  <c r="G159" i="4"/>
  <c r="G156" i="4" s="1"/>
  <c r="G155" i="4" s="1"/>
  <c r="F156" i="4"/>
  <c r="F155" i="4" s="1"/>
  <c r="M160" i="4"/>
  <c r="N172" i="4"/>
  <c r="N173" i="4"/>
  <c r="G220" i="4"/>
  <c r="G236" i="4"/>
  <c r="G235" i="4" s="1"/>
  <c r="G234" i="4" s="1"/>
  <c r="G239" i="4"/>
  <c r="G238" i="4" s="1"/>
  <c r="K278" i="4"/>
  <c r="K277" i="4" s="1"/>
  <c r="K276" i="4" s="1"/>
  <c r="H306" i="4"/>
  <c r="H305" i="4" s="1"/>
  <c r="K350" i="4"/>
  <c r="K344" i="4" s="1"/>
  <c r="K333" i="4" s="1"/>
  <c r="F344" i="4"/>
  <c r="F333" i="4" s="1"/>
  <c r="H40" i="4"/>
  <c r="H39" i="4" s="1"/>
  <c r="L127" i="4"/>
  <c r="L126" i="4" s="1"/>
  <c r="L137" i="4"/>
  <c r="F259" i="4"/>
  <c r="F278" i="4"/>
  <c r="F277" i="4" s="1"/>
  <c r="F276" i="4" s="1"/>
  <c r="I292" i="4"/>
  <c r="N328" i="4"/>
  <c r="N327" i="4" s="1"/>
  <c r="J333" i="4"/>
  <c r="L344" i="4"/>
  <c r="L333" i="4" s="1"/>
  <c r="G344" i="4"/>
  <c r="G333" i="4" s="1"/>
  <c r="G127" i="4"/>
  <c r="G126" i="4" s="1"/>
  <c r="I135" i="4"/>
  <c r="I127" i="4" s="1"/>
  <c r="I126" i="4" s="1"/>
  <c r="L204" i="4"/>
  <c r="G204" i="4"/>
  <c r="L259" i="4"/>
  <c r="G259" i="4"/>
  <c r="H285" i="4"/>
  <c r="N298" i="4"/>
  <c r="N292" i="4" s="1"/>
  <c r="N291" i="4" s="1"/>
  <c r="L156" i="4"/>
  <c r="L155" i="4" s="1"/>
  <c r="K161" i="4"/>
  <c r="K121" i="4" s="1"/>
  <c r="F175" i="4"/>
  <c r="H204" i="4"/>
  <c r="L215" i="4"/>
  <c r="L214" i="4" s="1"/>
  <c r="I282" i="4"/>
  <c r="I278" i="4" s="1"/>
  <c r="I277" i="4" s="1"/>
  <c r="I276" i="4" s="1"/>
  <c r="F302" i="4"/>
  <c r="M329" i="4"/>
  <c r="G47" i="4"/>
  <c r="M56" i="4"/>
  <c r="F47" i="4"/>
  <c r="F40" i="4"/>
  <c r="F39" i="4" s="1"/>
  <c r="J24" i="4"/>
  <c r="F24" i="4"/>
  <c r="F18" i="4" s="1"/>
  <c r="M29" i="4"/>
  <c r="N25" i="4"/>
  <c r="N24" i="4" s="1"/>
  <c r="M25" i="4"/>
  <c r="N139" i="4"/>
  <c r="M139" i="4"/>
  <c r="M96" i="4"/>
  <c r="M95" i="4" s="1"/>
  <c r="M94" i="4" s="1"/>
  <c r="N96" i="4"/>
  <c r="N128" i="4"/>
  <c r="G25" i="4"/>
  <c r="G24" i="4" s="1"/>
  <c r="G18" i="4" s="1"/>
  <c r="H25" i="4"/>
  <c r="H24" i="4" s="1"/>
  <c r="H18" i="4" s="1"/>
  <c r="N31" i="4"/>
  <c r="J48" i="4"/>
  <c r="J47" i="4" s="1"/>
  <c r="J38" i="4" s="1"/>
  <c r="N55" i="4"/>
  <c r="N54" i="4" s="1"/>
  <c r="K100" i="4"/>
  <c r="N133" i="4"/>
  <c r="N136" i="4"/>
  <c r="N135" i="4" s="1"/>
  <c r="G139" i="4"/>
  <c r="G137" i="4" s="1"/>
  <c r="H139" i="4"/>
  <c r="H166" i="4"/>
  <c r="H165" i="4" s="1"/>
  <c r="H161" i="4" s="1"/>
  <c r="L175" i="4"/>
  <c r="H216" i="4"/>
  <c r="I333" i="4"/>
  <c r="G54" i="4"/>
  <c r="H54" i="4" s="1"/>
  <c r="H48" i="4" s="1"/>
  <c r="H47" i="4" s="1"/>
  <c r="G96" i="4"/>
  <c r="G95" i="4" s="1"/>
  <c r="G94" i="4" s="1"/>
  <c r="N220" i="4"/>
  <c r="M220" i="4"/>
  <c r="I291" i="4"/>
  <c r="M159" i="4"/>
  <c r="M156" i="4" s="1"/>
  <c r="M155" i="4" s="1"/>
  <c r="N159" i="4"/>
  <c r="N156" i="4" s="1"/>
  <c r="N155" i="4" s="1"/>
  <c r="M279" i="4"/>
  <c r="M278" i="4" s="1"/>
  <c r="M277" i="4" s="1"/>
  <c r="M276" i="4" s="1"/>
  <c r="N279" i="4"/>
  <c r="H96" i="4"/>
  <c r="H95" i="4" s="1"/>
  <c r="H94" i="4" s="1"/>
  <c r="N166" i="4"/>
  <c r="M166" i="4"/>
  <c r="M165" i="4" s="1"/>
  <c r="I259" i="4"/>
  <c r="G216" i="4"/>
  <c r="M218" i="4"/>
  <c r="H220" i="4"/>
  <c r="M294" i="4"/>
  <c r="M293" i="4" s="1"/>
  <c r="M292" i="4" s="1"/>
  <c r="M291" i="4" s="1"/>
  <c r="M357" i="4"/>
  <c r="G309" i="3"/>
  <c r="M312" i="3"/>
  <c r="M309" i="3" s="1"/>
  <c r="M313" i="3"/>
  <c r="H312" i="3"/>
  <c r="N312" i="3" s="1"/>
  <c r="H313" i="3"/>
  <c r="N313" i="3" s="1"/>
  <c r="M180" i="4" l="1"/>
  <c r="N180" i="4" s="1"/>
  <c r="N106" i="4"/>
  <c r="H38" i="4"/>
  <c r="G161" i="4"/>
  <c r="M161" i="4"/>
  <c r="K38" i="4"/>
  <c r="N278" i="4"/>
  <c r="N277" i="4" s="1"/>
  <c r="N276" i="4" s="1"/>
  <c r="H278" i="4"/>
  <c r="H277" i="4" s="1"/>
  <c r="H276" i="4" s="1"/>
  <c r="L85" i="4"/>
  <c r="I121" i="4"/>
  <c r="I17" i="4" s="1"/>
  <c r="I16" i="4" s="1"/>
  <c r="N165" i="4"/>
  <c r="N161" i="4" s="1"/>
  <c r="M137" i="4"/>
  <c r="F298" i="4"/>
  <c r="F292" i="4" s="1"/>
  <c r="F291" i="4" s="1"/>
  <c r="L302" i="4"/>
  <c r="L298" i="4" s="1"/>
  <c r="L292" i="4" s="1"/>
  <c r="L291" i="4" s="1"/>
  <c r="H127" i="4"/>
  <c r="H126" i="4" s="1"/>
  <c r="H291" i="4"/>
  <c r="L328" i="4"/>
  <c r="L327" i="4" s="1"/>
  <c r="F327" i="4"/>
  <c r="L213" i="4"/>
  <c r="H137" i="4"/>
  <c r="G215" i="4"/>
  <c r="G214" i="4" s="1"/>
  <c r="G213" i="4" s="1"/>
  <c r="G85" i="4"/>
  <c r="G121" i="4"/>
  <c r="N137" i="4"/>
  <c r="L121" i="4"/>
  <c r="H86" i="4"/>
  <c r="H85" i="4" s="1"/>
  <c r="F38" i="4"/>
  <c r="F17" i="4" s="1"/>
  <c r="F16" i="4" s="1"/>
  <c r="J18" i="4"/>
  <c r="K18" i="4"/>
  <c r="J17" i="4"/>
  <c r="J16" i="4" s="1"/>
  <c r="M24" i="4"/>
  <c r="M18" i="4" s="1"/>
  <c r="N216" i="4"/>
  <c r="N215" i="4" s="1"/>
  <c r="N214" i="4" s="1"/>
  <c r="N213" i="4" s="1"/>
  <c r="M216" i="4"/>
  <c r="M215" i="4" s="1"/>
  <c r="M214" i="4" s="1"/>
  <c r="M213" i="4" s="1"/>
  <c r="H215" i="4"/>
  <c r="H214" i="4" s="1"/>
  <c r="H213" i="4" s="1"/>
  <c r="N100" i="4"/>
  <c r="N99" i="4" s="1"/>
  <c r="K99" i="4"/>
  <c r="K95" i="4" s="1"/>
  <c r="K94" i="4" s="1"/>
  <c r="K85" i="4" s="1"/>
  <c r="N127" i="4"/>
  <c r="N126" i="4" s="1"/>
  <c r="M54" i="4"/>
  <c r="M48" i="4" s="1"/>
  <c r="M47" i="4" s="1"/>
  <c r="M38" i="4" s="1"/>
  <c r="G38" i="4"/>
  <c r="N356" i="4"/>
  <c r="N344" i="4" s="1"/>
  <c r="N333" i="4" s="1"/>
  <c r="M356" i="4"/>
  <c r="M344" i="4" s="1"/>
  <c r="M333" i="4" s="1"/>
  <c r="N95" i="4"/>
  <c r="N94" i="4" s="1"/>
  <c r="N18" i="4"/>
  <c r="N181" i="4" l="1"/>
  <c r="K17" i="4"/>
  <c r="K16" i="4" s="1"/>
  <c r="M121" i="4"/>
  <c r="L17" i="4"/>
  <c r="L16" i="4" s="1"/>
  <c r="H121" i="4"/>
  <c r="H17" i="4" s="1"/>
  <c r="H16" i="4" s="1"/>
  <c r="G17" i="4"/>
  <c r="G16" i="4" s="1"/>
  <c r="N121" i="4"/>
  <c r="N86" i="4"/>
  <c r="N85" i="4" s="1"/>
  <c r="M86" i="4"/>
  <c r="M85" i="4" s="1"/>
  <c r="N48" i="4"/>
  <c r="N47" i="4" l="1"/>
  <c r="N38" i="4" s="1"/>
  <c r="N17" i="4" s="1"/>
  <c r="N16" i="4" s="1"/>
  <c r="M17" i="4"/>
  <c r="M16" i="4" s="1"/>
  <c r="M163" i="3"/>
  <c r="N163" i="3" s="1"/>
  <c r="M164" i="3"/>
  <c r="N164" i="3" s="1"/>
  <c r="H163" i="3"/>
  <c r="H164" i="3"/>
  <c r="G166" i="3"/>
  <c r="M127" i="3" l="1"/>
  <c r="H127" i="3"/>
  <c r="N127" i="3" s="1"/>
  <c r="G126" i="3"/>
  <c r="H126" i="3" l="1"/>
  <c r="H125" i="3" s="1"/>
  <c r="G125" i="3"/>
  <c r="J95" i="3" l="1"/>
  <c r="G97" i="3"/>
  <c r="H97" i="3"/>
  <c r="I97" i="3"/>
  <c r="F97" i="3"/>
  <c r="L98" i="3"/>
  <c r="L97" i="3" s="1"/>
  <c r="J98" i="3"/>
  <c r="G51" i="3"/>
  <c r="J97" i="3" l="1"/>
  <c r="M98" i="3"/>
  <c r="M97" i="3" s="1"/>
  <c r="K98" i="3"/>
  <c r="M32" i="3"/>
  <c r="N32" i="3" s="1"/>
  <c r="K97" i="3" l="1"/>
  <c r="N98" i="3"/>
  <c r="N97" i="3" s="1"/>
  <c r="H66" i="3"/>
  <c r="M66" i="3"/>
  <c r="N66" i="3" s="1"/>
  <c r="K95" i="3" l="1"/>
  <c r="K32" i="3"/>
  <c r="J31" i="3"/>
  <c r="M31" i="3" l="1"/>
  <c r="J24" i="3"/>
  <c r="K24" i="3" s="1"/>
  <c r="K31" i="3"/>
  <c r="N31" i="3" s="1"/>
  <c r="G57" i="3"/>
  <c r="G55" i="3" l="1"/>
  <c r="M30" i="3"/>
  <c r="N30" i="3" s="1"/>
  <c r="H30" i="3"/>
  <c r="G27" i="3"/>
  <c r="M57" i="3" l="1"/>
  <c r="N57" i="3" s="1"/>
  <c r="H57" i="3"/>
  <c r="G207" i="3" l="1"/>
  <c r="M51" i="3"/>
  <c r="N51" i="3" s="1"/>
  <c r="H51" i="3" l="1"/>
  <c r="G95" i="3"/>
  <c r="G96" i="3"/>
  <c r="H96" i="3" s="1"/>
  <c r="M131" i="3"/>
  <c r="N131" i="3" s="1"/>
  <c r="H131" i="3"/>
  <c r="H149" i="3" l="1"/>
  <c r="M149" i="3"/>
  <c r="N149" i="3" s="1"/>
  <c r="G210" i="3" l="1"/>
  <c r="M210" i="3" s="1"/>
  <c r="N210" i="3" s="1"/>
  <c r="H210" i="3" l="1"/>
  <c r="M55" i="3"/>
  <c r="H55" i="3"/>
  <c r="G262" i="3"/>
  <c r="M116" i="3"/>
  <c r="M117" i="3"/>
  <c r="H116" i="3"/>
  <c r="N116" i="3" s="1"/>
  <c r="H117" i="3"/>
  <c r="N117" i="3" s="1"/>
  <c r="G115" i="3"/>
  <c r="G54" i="3"/>
  <c r="H54" i="3" s="1"/>
  <c r="G275" i="3"/>
  <c r="G155" i="3"/>
  <c r="H226" i="3"/>
  <c r="M226" i="3"/>
  <c r="N226" i="3" s="1"/>
  <c r="H65" i="3"/>
  <c r="M65" i="3"/>
  <c r="N65" i="3" s="1"/>
  <c r="H276" i="3"/>
  <c r="M276" i="3"/>
  <c r="N276" i="3" s="1"/>
  <c r="H26" i="3"/>
  <c r="M26" i="3"/>
  <c r="N26" i="3" s="1"/>
  <c r="H207" i="3"/>
  <c r="M207" i="3"/>
  <c r="N207" i="3" s="1"/>
  <c r="H206" i="3"/>
  <c r="M206" i="3"/>
  <c r="N206" i="3" s="1"/>
  <c r="H284" i="3"/>
  <c r="M284" i="3"/>
  <c r="M283" i="3" s="1"/>
  <c r="G283" i="3"/>
  <c r="M144" i="3"/>
  <c r="N144" i="3" s="1"/>
  <c r="M145" i="3"/>
  <c r="N145" i="3" s="1"/>
  <c r="H144" i="3"/>
  <c r="H145" i="3"/>
  <c r="M115" i="3" l="1"/>
  <c r="H115" i="3"/>
  <c r="N115" i="3" s="1"/>
  <c r="N284" i="3"/>
  <c r="G137" i="3"/>
  <c r="G347" i="3"/>
  <c r="H108" i="3" l="1"/>
  <c r="M108" i="3"/>
  <c r="N108" i="3" s="1"/>
  <c r="M109" i="3"/>
  <c r="M110" i="3"/>
  <c r="M111" i="3"/>
  <c r="H109" i="3"/>
  <c r="N109" i="3" s="1"/>
  <c r="H110" i="3"/>
  <c r="N110" i="3" s="1"/>
  <c r="H111" i="3"/>
  <c r="N111" i="3" s="1"/>
  <c r="H137" i="3" l="1"/>
  <c r="G143" i="3"/>
  <c r="N42" i="3"/>
  <c r="M42" i="3"/>
  <c r="H174" i="3"/>
  <c r="G173" i="3"/>
  <c r="H173" i="3" s="1"/>
  <c r="M174" i="3"/>
  <c r="K126" i="3"/>
  <c r="H139" i="3"/>
  <c r="H42" i="3"/>
  <c r="H27" i="3"/>
  <c r="M267" i="3"/>
  <c r="N267" i="3" s="1"/>
  <c r="H267" i="3"/>
  <c r="G265" i="3"/>
  <c r="G266" i="3"/>
  <c r="M266" i="3" s="1"/>
  <c r="N266" i="3" s="1"/>
  <c r="M265" i="3" l="1"/>
  <c r="N265" i="3" s="1"/>
  <c r="H265" i="3"/>
  <c r="N174" i="3"/>
  <c r="M173" i="3"/>
  <c r="M172" i="3" s="1"/>
  <c r="G172" i="3"/>
  <c r="G171" i="3" s="1"/>
  <c r="H171" i="3" s="1"/>
  <c r="N172" i="3"/>
  <c r="M171" i="3"/>
  <c r="N171" i="3" s="1"/>
  <c r="H266" i="3"/>
  <c r="N173" i="3"/>
  <c r="H172" i="3"/>
  <c r="G222" i="3"/>
  <c r="H277" i="3"/>
  <c r="M277" i="3"/>
  <c r="N277" i="3" s="1"/>
  <c r="M347" i="3" l="1"/>
  <c r="H347" i="3"/>
  <c r="N347" i="3" s="1"/>
  <c r="G345" i="3"/>
  <c r="H345" i="3" s="1"/>
  <c r="N345" i="3" s="1"/>
  <c r="G346" i="3"/>
  <c r="M346" i="3" s="1"/>
  <c r="H339" i="3"/>
  <c r="H338" i="3" s="1"/>
  <c r="M339" i="3"/>
  <c r="M338" i="3" s="1"/>
  <c r="N338" i="3" s="1"/>
  <c r="G338" i="3"/>
  <c r="M311" i="3"/>
  <c r="N311" i="3" s="1"/>
  <c r="H311" i="3"/>
  <c r="H261" i="3"/>
  <c r="H262" i="3"/>
  <c r="M261" i="3"/>
  <c r="N261" i="3" s="1"/>
  <c r="M262" i="3"/>
  <c r="N262" i="3" s="1"/>
  <c r="H192" i="3"/>
  <c r="M192" i="3"/>
  <c r="N192" i="3" s="1"/>
  <c r="G162" i="3"/>
  <c r="H162" i="3" s="1"/>
  <c r="M143" i="3"/>
  <c r="N143" i="3" s="1"/>
  <c r="H143" i="3"/>
  <c r="H155" i="3"/>
  <c r="M155" i="3"/>
  <c r="N155" i="3" s="1"/>
  <c r="M137" i="3"/>
  <c r="N137" i="3" s="1"/>
  <c r="M139" i="3"/>
  <c r="N139" i="3" s="1"/>
  <c r="K139" i="3"/>
  <c r="J138" i="3"/>
  <c r="J135" i="3" s="1"/>
  <c r="H95" i="3"/>
  <c r="M27" i="3"/>
  <c r="N27" i="3" s="1"/>
  <c r="M126" i="3"/>
  <c r="J125" i="3"/>
  <c r="J124" i="3" s="1"/>
  <c r="K96" i="3"/>
  <c r="G89" i="3"/>
  <c r="M89" i="3" s="1"/>
  <c r="N89" i="3" s="1"/>
  <c r="F90" i="3"/>
  <c r="G90" i="3"/>
  <c r="H90" i="3"/>
  <c r="H87" i="3" s="1"/>
  <c r="I90" i="3"/>
  <c r="K90" i="3"/>
  <c r="M90" i="3"/>
  <c r="M87" i="3" s="1"/>
  <c r="H222" i="3"/>
  <c r="M222" i="3"/>
  <c r="N222" i="3" s="1"/>
  <c r="K55" i="3"/>
  <c r="N55" i="3" s="1"/>
  <c r="J54" i="3"/>
  <c r="M54" i="3" l="1"/>
  <c r="J48" i="3"/>
  <c r="N126" i="3"/>
  <c r="N125" i="3" s="1"/>
  <c r="M125" i="3"/>
  <c r="G88" i="3"/>
  <c r="M88" i="3" s="1"/>
  <c r="H89" i="3"/>
  <c r="K54" i="3"/>
  <c r="N54" i="3" s="1"/>
  <c r="N339" i="3"/>
  <c r="H346" i="3"/>
  <c r="N346" i="3" s="1"/>
  <c r="M345" i="3"/>
  <c r="N88" i="3"/>
  <c r="H88" i="3"/>
  <c r="M162" i="3"/>
  <c r="N162" i="3" s="1"/>
  <c r="G87" i="3"/>
  <c r="F58" i="3"/>
  <c r="G58" i="3"/>
  <c r="H58" i="3"/>
  <c r="I58" i="3"/>
  <c r="K58" i="3"/>
  <c r="M58" i="3"/>
  <c r="F56" i="3"/>
  <c r="G56" i="3"/>
  <c r="H56" i="3"/>
  <c r="I56" i="3"/>
  <c r="K56" i="3"/>
  <c r="L56" i="3"/>
  <c r="M56" i="3"/>
  <c r="N56" i="3"/>
  <c r="K27" i="3"/>
  <c r="J25" i="3"/>
  <c r="J18" i="3" s="1"/>
  <c r="H166" i="3" l="1"/>
  <c r="N166" i="3" s="1"/>
  <c r="H165" i="3" l="1"/>
  <c r="N165" i="3" s="1"/>
  <c r="M166" i="3"/>
  <c r="G165" i="3"/>
  <c r="I343" i="3"/>
  <c r="I342" i="3" s="1"/>
  <c r="I341" i="3" s="1"/>
  <c r="N342" i="3"/>
  <c r="N341" i="3" s="1"/>
  <c r="F342" i="3"/>
  <c r="F341" i="3" s="1"/>
  <c r="N337" i="3"/>
  <c r="L338" i="3"/>
  <c r="L337" i="3" s="1"/>
  <c r="K338" i="3"/>
  <c r="I338" i="3"/>
  <c r="I337" i="3" s="1"/>
  <c r="F338" i="3"/>
  <c r="F337" i="3" s="1"/>
  <c r="M337" i="3"/>
  <c r="K337" i="3"/>
  <c r="J337" i="3"/>
  <c r="H337" i="3"/>
  <c r="G337" i="3"/>
  <c r="N335" i="3"/>
  <c r="M335" i="3"/>
  <c r="L335" i="3"/>
  <c r="K335" i="3"/>
  <c r="I335" i="3"/>
  <c r="H335" i="3"/>
  <c r="G335" i="3"/>
  <c r="G331" i="3" s="1"/>
  <c r="F335" i="3"/>
  <c r="F331" i="3" s="1"/>
  <c r="N332" i="3"/>
  <c r="L332" i="3"/>
  <c r="K332" i="3"/>
  <c r="I332" i="3"/>
  <c r="N331" i="3"/>
  <c r="M331" i="3"/>
  <c r="H331" i="3"/>
  <c r="N327" i="3"/>
  <c r="M327" i="3"/>
  <c r="L327" i="3"/>
  <c r="K327" i="3"/>
  <c r="I327" i="3"/>
  <c r="I326" i="3" s="1"/>
  <c r="H327" i="3"/>
  <c r="H326" i="3" s="1"/>
  <c r="G327" i="3"/>
  <c r="G326" i="3" s="1"/>
  <c r="F327" i="3"/>
  <c r="N326" i="3"/>
  <c r="M326" i="3"/>
  <c r="L326" i="3"/>
  <c r="K326" i="3"/>
  <c r="J326" i="3"/>
  <c r="J325" i="3" s="1"/>
  <c r="F326" i="3"/>
  <c r="N324" i="3"/>
  <c r="L324" i="3"/>
  <c r="L323" i="3" s="1"/>
  <c r="H324" i="3"/>
  <c r="H323" i="3" s="1"/>
  <c r="F324" i="3"/>
  <c r="F323" i="3" s="1"/>
  <c r="N323" i="3"/>
  <c r="M323" i="3"/>
  <c r="K323" i="3"/>
  <c r="I323" i="3"/>
  <c r="G323" i="3"/>
  <c r="N322" i="3"/>
  <c r="L322" i="3"/>
  <c r="L321" i="3" s="1"/>
  <c r="H322" i="3"/>
  <c r="H321" i="3" s="1"/>
  <c r="F322" i="3"/>
  <c r="F321" i="3" s="1"/>
  <c r="N321" i="3"/>
  <c r="M321" i="3"/>
  <c r="K321" i="3"/>
  <c r="K320" i="3" s="1"/>
  <c r="K319" i="3" s="1"/>
  <c r="I321" i="3"/>
  <c r="G321" i="3"/>
  <c r="M320" i="3"/>
  <c r="M319" i="3" s="1"/>
  <c r="J320" i="3"/>
  <c r="I320" i="3"/>
  <c r="I319" i="3" s="1"/>
  <c r="J319" i="3"/>
  <c r="N317" i="3"/>
  <c r="M317" i="3"/>
  <c r="L317" i="3"/>
  <c r="K317" i="3"/>
  <c r="I317" i="3"/>
  <c r="H317" i="3"/>
  <c r="H316" i="3" s="1"/>
  <c r="H315" i="3" s="1"/>
  <c r="G317" i="3"/>
  <c r="F317" i="3"/>
  <c r="N316" i="3"/>
  <c r="M316" i="3"/>
  <c r="M315" i="3" s="1"/>
  <c r="L316" i="3"/>
  <c r="K316" i="3"/>
  <c r="K315" i="3" s="1"/>
  <c r="J316" i="3"/>
  <c r="J315" i="3" s="1"/>
  <c r="J314" i="3" s="1"/>
  <c r="I316" i="3"/>
  <c r="I315" i="3" s="1"/>
  <c r="G316" i="3"/>
  <c r="F316" i="3"/>
  <c r="F315" i="3" s="1"/>
  <c r="N315" i="3"/>
  <c r="L315" i="3"/>
  <c r="G315" i="3"/>
  <c r="N310" i="3"/>
  <c r="N309" i="3" s="1"/>
  <c r="M310" i="3"/>
  <c r="L310" i="3"/>
  <c r="K310" i="3"/>
  <c r="I310" i="3"/>
  <c r="H310" i="3"/>
  <c r="H309" i="3" s="1"/>
  <c r="G310" i="3"/>
  <c r="G308" i="3" s="1"/>
  <c r="F310" i="3"/>
  <c r="F309" i="3" s="1"/>
  <c r="F308" i="3" s="1"/>
  <c r="N308" i="3"/>
  <c r="M308" i="3"/>
  <c r="L309" i="3"/>
  <c r="L308" i="3" s="1"/>
  <c r="K309" i="3"/>
  <c r="K308" i="3" s="1"/>
  <c r="I309" i="3"/>
  <c r="I308" i="3" s="1"/>
  <c r="H308" i="3"/>
  <c r="J308" i="3"/>
  <c r="N306" i="3"/>
  <c r="M306" i="3"/>
  <c r="L306" i="3"/>
  <c r="K306" i="3"/>
  <c r="I306" i="3"/>
  <c r="H306" i="3"/>
  <c r="G306" i="3"/>
  <c r="F306" i="3"/>
  <c r="N305" i="3"/>
  <c r="M305" i="3"/>
  <c r="L305" i="3"/>
  <c r="K305" i="3"/>
  <c r="I305" i="3"/>
  <c r="I304" i="3" s="1"/>
  <c r="H305" i="3"/>
  <c r="H304" i="3" s="1"/>
  <c r="G305" i="3"/>
  <c r="G304" i="3" s="1"/>
  <c r="F305" i="3"/>
  <c r="F304" i="3" s="1"/>
  <c r="N304" i="3"/>
  <c r="M304" i="3"/>
  <c r="L304" i="3"/>
  <c r="K304" i="3"/>
  <c r="J304" i="3"/>
  <c r="N301" i="3"/>
  <c r="M301" i="3"/>
  <c r="L301" i="3"/>
  <c r="K301" i="3"/>
  <c r="I301" i="3"/>
  <c r="H301" i="3"/>
  <c r="G301" i="3"/>
  <c r="F301" i="3"/>
  <c r="N300" i="3"/>
  <c r="M300" i="3"/>
  <c r="L300" i="3"/>
  <c r="K300" i="3"/>
  <c r="I300" i="3"/>
  <c r="H300" i="3"/>
  <c r="G300" i="3"/>
  <c r="F300" i="3"/>
  <c r="N298" i="3"/>
  <c r="N297" i="3" s="1"/>
  <c r="M298" i="3"/>
  <c r="M297" i="3" s="1"/>
  <c r="L298" i="3"/>
  <c r="L297" i="3" s="1"/>
  <c r="K298" i="3"/>
  <c r="K297" i="3" s="1"/>
  <c r="I298" i="3"/>
  <c r="I297" i="3" s="1"/>
  <c r="H298" i="3"/>
  <c r="H297" i="3" s="1"/>
  <c r="G298" i="3"/>
  <c r="G297" i="3" s="1"/>
  <c r="F298" i="3"/>
  <c r="F297" i="3" s="1"/>
  <c r="N294" i="3"/>
  <c r="M294" i="3"/>
  <c r="L294" i="3"/>
  <c r="K294" i="3"/>
  <c r="I294" i="3"/>
  <c r="H294" i="3"/>
  <c r="G294" i="3"/>
  <c r="F294" i="3"/>
  <c r="N293" i="3"/>
  <c r="M293" i="3"/>
  <c r="L293" i="3"/>
  <c r="K293" i="3"/>
  <c r="I293" i="3"/>
  <c r="H293" i="3"/>
  <c r="G293" i="3"/>
  <c r="F293" i="3"/>
  <c r="J292" i="3"/>
  <c r="N290" i="3"/>
  <c r="M290" i="3"/>
  <c r="L290" i="3"/>
  <c r="K290" i="3"/>
  <c r="I290" i="3"/>
  <c r="H290" i="3"/>
  <c r="G290" i="3"/>
  <c r="F290" i="3"/>
  <c r="N289" i="3"/>
  <c r="L289" i="3"/>
  <c r="L288" i="3" s="1"/>
  <c r="H289" i="3"/>
  <c r="H288" i="3" s="1"/>
  <c r="F289" i="3"/>
  <c r="F288" i="3" s="1"/>
  <c r="F287" i="3" s="1"/>
  <c r="F286" i="3" s="1"/>
  <c r="N288" i="3"/>
  <c r="N287" i="3" s="1"/>
  <c r="N286" i="3" s="1"/>
  <c r="M288" i="3"/>
  <c r="M287" i="3" s="1"/>
  <c r="M286" i="3" s="1"/>
  <c r="K288" i="3"/>
  <c r="K287" i="3" s="1"/>
  <c r="K286" i="3" s="1"/>
  <c r="I288" i="3"/>
  <c r="G288" i="3"/>
  <c r="G287" i="3" s="1"/>
  <c r="G286" i="3" s="1"/>
  <c r="J286" i="3"/>
  <c r="N285" i="3"/>
  <c r="L285" i="3"/>
  <c r="H285" i="3"/>
  <c r="F285" i="3"/>
  <c r="L284" i="3"/>
  <c r="F284" i="3"/>
  <c r="N283" i="3"/>
  <c r="K283" i="3"/>
  <c r="I283" i="3"/>
  <c r="H283" i="3"/>
  <c r="N280" i="3"/>
  <c r="M280" i="3"/>
  <c r="M279" i="3" s="1"/>
  <c r="L280" i="3"/>
  <c r="K280" i="3"/>
  <c r="I280" i="3"/>
  <c r="H280" i="3"/>
  <c r="G280" i="3"/>
  <c r="G279" i="3" s="1"/>
  <c r="F280" i="3"/>
  <c r="N275" i="3"/>
  <c r="M275" i="3"/>
  <c r="L275" i="3"/>
  <c r="K275" i="3"/>
  <c r="I275" i="3"/>
  <c r="H275" i="3"/>
  <c r="G274" i="3"/>
  <c r="G273" i="3" s="1"/>
  <c r="F275" i="3"/>
  <c r="F274" i="3" s="1"/>
  <c r="N274" i="3"/>
  <c r="M274" i="3"/>
  <c r="L274" i="3"/>
  <c r="K274" i="3"/>
  <c r="I274" i="3"/>
  <c r="H274" i="3"/>
  <c r="J273" i="3"/>
  <c r="N269" i="3"/>
  <c r="M269" i="3"/>
  <c r="L269" i="3"/>
  <c r="H269" i="3"/>
  <c r="G269" i="3"/>
  <c r="F269" i="3"/>
  <c r="N268" i="3"/>
  <c r="M268" i="3"/>
  <c r="L268" i="3"/>
  <c r="J268" i="3"/>
  <c r="H268" i="3"/>
  <c r="G268" i="3"/>
  <c r="F268" i="3"/>
  <c r="K263" i="3"/>
  <c r="I264" i="3"/>
  <c r="L264" i="3" s="1"/>
  <c r="L263" i="3" s="1"/>
  <c r="H264" i="3"/>
  <c r="H263" i="3" s="1"/>
  <c r="F264" i="3"/>
  <c r="M263" i="3"/>
  <c r="I263" i="3"/>
  <c r="G263" i="3"/>
  <c r="F263" i="3"/>
  <c r="L262" i="3"/>
  <c r="L260" i="3" s="1"/>
  <c r="F262" i="3"/>
  <c r="F260" i="3" s="1"/>
  <c r="F259" i="3" s="1"/>
  <c r="F258" i="3" s="1"/>
  <c r="F257" i="3" s="1"/>
  <c r="N260" i="3"/>
  <c r="M260" i="3"/>
  <c r="K260" i="3"/>
  <c r="I260" i="3"/>
  <c r="I259" i="3" s="1"/>
  <c r="I258" i="3" s="1"/>
  <c r="I257" i="3" s="1"/>
  <c r="H260" i="3"/>
  <c r="G260" i="3"/>
  <c r="J258" i="3"/>
  <c r="J257" i="3" s="1"/>
  <c r="N254" i="3"/>
  <c r="M254" i="3"/>
  <c r="L254" i="3"/>
  <c r="K254" i="3"/>
  <c r="I254" i="3"/>
  <c r="H254" i="3"/>
  <c r="G254" i="3"/>
  <c r="F254" i="3"/>
  <c r="N253" i="3"/>
  <c r="M253" i="3"/>
  <c r="L253" i="3"/>
  <c r="K253" i="3"/>
  <c r="I253" i="3"/>
  <c r="I252" i="3" s="1"/>
  <c r="H253" i="3"/>
  <c r="G253" i="3"/>
  <c r="G252" i="3" s="1"/>
  <c r="F253" i="3"/>
  <c r="F252" i="3" s="1"/>
  <c r="N252" i="3"/>
  <c r="M252" i="3"/>
  <c r="L252" i="3"/>
  <c r="K252" i="3"/>
  <c r="J252" i="3"/>
  <c r="H252" i="3"/>
  <c r="N250" i="3"/>
  <c r="M250" i="3"/>
  <c r="L250" i="3"/>
  <c r="K250" i="3"/>
  <c r="I250" i="3"/>
  <c r="H250" i="3"/>
  <c r="G250" i="3"/>
  <c r="F250" i="3"/>
  <c r="N249" i="3"/>
  <c r="M249" i="3"/>
  <c r="L249" i="3"/>
  <c r="K249" i="3"/>
  <c r="I249" i="3"/>
  <c r="I248" i="3" s="1"/>
  <c r="H249" i="3"/>
  <c r="H248" i="3" s="1"/>
  <c r="G249" i="3"/>
  <c r="G248" i="3" s="1"/>
  <c r="F249" i="3"/>
  <c r="F248" i="3" s="1"/>
  <c r="N248" i="3"/>
  <c r="M248" i="3"/>
  <c r="L248" i="3"/>
  <c r="K248" i="3"/>
  <c r="J248" i="3"/>
  <c r="N245" i="3"/>
  <c r="M245" i="3"/>
  <c r="L245" i="3"/>
  <c r="K245" i="3"/>
  <c r="I245" i="3"/>
  <c r="H245" i="3"/>
  <c r="G245" i="3"/>
  <c r="F245" i="3"/>
  <c r="N243" i="3"/>
  <c r="M243" i="3"/>
  <c r="L243" i="3"/>
  <c r="K243" i="3"/>
  <c r="I243" i="3"/>
  <c r="H243" i="3"/>
  <c r="G243" i="3"/>
  <c r="F243" i="3"/>
  <c r="N242" i="3"/>
  <c r="M242" i="3"/>
  <c r="L242" i="3"/>
  <c r="K242" i="3"/>
  <c r="I242" i="3"/>
  <c r="I241" i="3" s="1"/>
  <c r="H242" i="3"/>
  <c r="G242" i="3"/>
  <c r="F242" i="3"/>
  <c r="N241" i="3"/>
  <c r="M241" i="3"/>
  <c r="L241" i="3"/>
  <c r="K241" i="3"/>
  <c r="J241" i="3"/>
  <c r="H241" i="3"/>
  <c r="G241" i="3"/>
  <c r="F241" i="3"/>
  <c r="N238" i="3"/>
  <c r="M238" i="3"/>
  <c r="L238" i="3"/>
  <c r="K238" i="3"/>
  <c r="I238" i="3"/>
  <c r="H238" i="3"/>
  <c r="G238" i="3"/>
  <c r="F238" i="3"/>
  <c r="N237" i="3"/>
  <c r="M237" i="3"/>
  <c r="L237" i="3"/>
  <c r="K237" i="3"/>
  <c r="I237" i="3"/>
  <c r="H237" i="3"/>
  <c r="G237" i="3"/>
  <c r="F237" i="3"/>
  <c r="N235" i="3"/>
  <c r="M235" i="3"/>
  <c r="L235" i="3"/>
  <c r="K235" i="3"/>
  <c r="I235" i="3"/>
  <c r="H235" i="3"/>
  <c r="G235" i="3"/>
  <c r="F235" i="3"/>
  <c r="N234" i="3"/>
  <c r="M234" i="3"/>
  <c r="L234" i="3"/>
  <c r="K234" i="3"/>
  <c r="I234" i="3"/>
  <c r="I233" i="3" s="1"/>
  <c r="H234" i="3"/>
  <c r="H233" i="3" s="1"/>
  <c r="G234" i="3"/>
  <c r="G233" i="3" s="1"/>
  <c r="F234" i="3"/>
  <c r="F233" i="3" s="1"/>
  <c r="N233" i="3"/>
  <c r="M233" i="3"/>
  <c r="L233" i="3"/>
  <c r="K233" i="3"/>
  <c r="J233" i="3"/>
  <c r="N231" i="3"/>
  <c r="M231" i="3"/>
  <c r="L231" i="3"/>
  <c r="K231" i="3"/>
  <c r="I231" i="3"/>
  <c r="H231" i="3"/>
  <c r="G231" i="3"/>
  <c r="F231" i="3"/>
  <c r="N230" i="3"/>
  <c r="M230" i="3"/>
  <c r="L230" i="3"/>
  <c r="K230" i="3"/>
  <c r="I230" i="3"/>
  <c r="I229" i="3" s="1"/>
  <c r="H230" i="3"/>
  <c r="H229" i="3" s="1"/>
  <c r="G230" i="3"/>
  <c r="F230" i="3"/>
  <c r="F229" i="3" s="1"/>
  <c r="N229" i="3"/>
  <c r="M229" i="3"/>
  <c r="L229" i="3"/>
  <c r="K229" i="3"/>
  <c r="J229" i="3"/>
  <c r="G229" i="3"/>
  <c r="N227" i="3"/>
  <c r="M227" i="3"/>
  <c r="L227" i="3"/>
  <c r="K227" i="3"/>
  <c r="I227" i="3"/>
  <c r="H227" i="3"/>
  <c r="G227" i="3"/>
  <c r="F227" i="3"/>
  <c r="L226" i="3"/>
  <c r="L225" i="3" s="1"/>
  <c r="F226" i="3"/>
  <c r="F225" i="3" s="1"/>
  <c r="N225" i="3"/>
  <c r="N224" i="3" s="1"/>
  <c r="N223" i="3" s="1"/>
  <c r="M225" i="3"/>
  <c r="M224" i="3" s="1"/>
  <c r="M223" i="3" s="1"/>
  <c r="K225" i="3"/>
  <c r="I225" i="3"/>
  <c r="I224" i="3" s="1"/>
  <c r="I223" i="3" s="1"/>
  <c r="H225" i="3"/>
  <c r="G225" i="3"/>
  <c r="G224" i="3" s="1"/>
  <c r="G223" i="3" s="1"/>
  <c r="N221" i="3"/>
  <c r="M221" i="3"/>
  <c r="L221" i="3"/>
  <c r="K221" i="3"/>
  <c r="K220" i="3" s="1"/>
  <c r="K219" i="3" s="1"/>
  <c r="I221" i="3"/>
  <c r="I220" i="3" s="1"/>
  <c r="I219" i="3" s="1"/>
  <c r="H221" i="3"/>
  <c r="G221" i="3"/>
  <c r="F221" i="3"/>
  <c r="F220" i="3" s="1"/>
  <c r="F219" i="3" s="1"/>
  <c r="N220" i="3"/>
  <c r="N219" i="3" s="1"/>
  <c r="M220" i="3"/>
  <c r="L220" i="3"/>
  <c r="H220" i="3"/>
  <c r="H219" i="3" s="1"/>
  <c r="G220" i="3"/>
  <c r="G219" i="3" s="1"/>
  <c r="M219" i="3"/>
  <c r="L219" i="3"/>
  <c r="N218" i="3"/>
  <c r="L218" i="3"/>
  <c r="L217" i="3" s="1"/>
  <c r="L216" i="3" s="1"/>
  <c r="H218" i="3"/>
  <c r="H217" i="3" s="1"/>
  <c r="H216" i="3" s="1"/>
  <c r="F218" i="3"/>
  <c r="F217" i="3" s="1"/>
  <c r="F216" i="3" s="1"/>
  <c r="N217" i="3"/>
  <c r="N216" i="3" s="1"/>
  <c r="M217" i="3"/>
  <c r="M216" i="3" s="1"/>
  <c r="K217" i="3"/>
  <c r="K216" i="3" s="1"/>
  <c r="I217" i="3"/>
  <c r="I216" i="3" s="1"/>
  <c r="G217" i="3"/>
  <c r="G216" i="3" s="1"/>
  <c r="N215" i="3"/>
  <c r="L215" i="3"/>
  <c r="L214" i="3" s="1"/>
  <c r="L213" i="3" s="1"/>
  <c r="H215" i="3"/>
  <c r="H214" i="3" s="1"/>
  <c r="H213" i="3" s="1"/>
  <c r="F215" i="3"/>
  <c r="F214" i="3" s="1"/>
  <c r="F213" i="3" s="1"/>
  <c r="N214" i="3"/>
  <c r="N213" i="3" s="1"/>
  <c r="M214" i="3"/>
  <c r="M213" i="3" s="1"/>
  <c r="K214" i="3"/>
  <c r="K213" i="3" s="1"/>
  <c r="I214" i="3"/>
  <c r="I213" i="3" s="1"/>
  <c r="G214" i="3"/>
  <c r="G213" i="3" s="1"/>
  <c r="N211" i="3"/>
  <c r="M211" i="3"/>
  <c r="L211" i="3"/>
  <c r="K211" i="3"/>
  <c r="I211" i="3"/>
  <c r="H211" i="3"/>
  <c r="G211" i="3"/>
  <c r="F211" i="3"/>
  <c r="L210" i="3"/>
  <c r="H209" i="3"/>
  <c r="F210" i="3"/>
  <c r="N209" i="3"/>
  <c r="M209" i="3"/>
  <c r="L209" i="3"/>
  <c r="K209" i="3"/>
  <c r="I209" i="3"/>
  <c r="G209" i="3"/>
  <c r="F209" i="3"/>
  <c r="N205" i="3"/>
  <c r="M205" i="3"/>
  <c r="L205" i="3"/>
  <c r="K205" i="3"/>
  <c r="K204" i="3" s="1"/>
  <c r="I205" i="3"/>
  <c r="H205" i="3"/>
  <c r="G205" i="3"/>
  <c r="G204" i="3" s="1"/>
  <c r="F205" i="3"/>
  <c r="F204" i="3" s="1"/>
  <c r="J203" i="3"/>
  <c r="N200" i="3"/>
  <c r="M200" i="3"/>
  <c r="L200" i="3"/>
  <c r="K200" i="3"/>
  <c r="I200" i="3"/>
  <c r="H200" i="3"/>
  <c r="G200" i="3"/>
  <c r="F200" i="3"/>
  <c r="N199" i="3"/>
  <c r="M199" i="3"/>
  <c r="M198" i="3" s="1"/>
  <c r="L199" i="3"/>
  <c r="L198" i="3" s="1"/>
  <c r="K199" i="3"/>
  <c r="I199" i="3"/>
  <c r="I198" i="3" s="1"/>
  <c r="H199" i="3"/>
  <c r="H198" i="3" s="1"/>
  <c r="G199" i="3"/>
  <c r="G198" i="3" s="1"/>
  <c r="F199" i="3"/>
  <c r="F198" i="3" s="1"/>
  <c r="N198" i="3"/>
  <c r="K198" i="3"/>
  <c r="J198" i="3"/>
  <c r="N196" i="3"/>
  <c r="M196" i="3"/>
  <c r="M195" i="3" s="1"/>
  <c r="M194" i="3" s="1"/>
  <c r="L196" i="3"/>
  <c r="K196" i="3"/>
  <c r="I196" i="3"/>
  <c r="H196" i="3"/>
  <c r="H195" i="3" s="1"/>
  <c r="H194" i="3" s="1"/>
  <c r="G196" i="3"/>
  <c r="G195" i="3" s="1"/>
  <c r="G194" i="3" s="1"/>
  <c r="F196" i="3"/>
  <c r="F195" i="3" s="1"/>
  <c r="F194" i="3" s="1"/>
  <c r="N195" i="3"/>
  <c r="N194" i="3" s="1"/>
  <c r="L195" i="3"/>
  <c r="L194" i="3" s="1"/>
  <c r="K195" i="3"/>
  <c r="K194" i="3" s="1"/>
  <c r="I195" i="3"/>
  <c r="I194" i="3" s="1"/>
  <c r="J194" i="3"/>
  <c r="N191" i="3"/>
  <c r="N190" i="3" s="1"/>
  <c r="N189" i="3" s="1"/>
  <c r="L192" i="3"/>
  <c r="L191" i="3" s="1"/>
  <c r="L190" i="3" s="1"/>
  <c r="L189" i="3" s="1"/>
  <c r="M191" i="3"/>
  <c r="M190" i="3" s="1"/>
  <c r="M189" i="3" s="1"/>
  <c r="K191" i="3"/>
  <c r="K190" i="3" s="1"/>
  <c r="K189" i="3" s="1"/>
  <c r="I191" i="3"/>
  <c r="I190" i="3" s="1"/>
  <c r="I189" i="3" s="1"/>
  <c r="H191" i="3"/>
  <c r="H190" i="3" s="1"/>
  <c r="H189" i="3" s="1"/>
  <c r="G191" i="3"/>
  <c r="G190" i="3" s="1"/>
  <c r="G189" i="3" s="1"/>
  <c r="F191" i="3"/>
  <c r="F190" i="3" s="1"/>
  <c r="F189" i="3" s="1"/>
  <c r="J189" i="3"/>
  <c r="N187" i="3"/>
  <c r="M187" i="3"/>
  <c r="L187" i="3"/>
  <c r="K187" i="3"/>
  <c r="I187" i="3"/>
  <c r="H187" i="3"/>
  <c r="H186" i="3" s="1"/>
  <c r="H185" i="3" s="1"/>
  <c r="G187" i="3"/>
  <c r="G186" i="3" s="1"/>
  <c r="G185" i="3" s="1"/>
  <c r="F187" i="3"/>
  <c r="F186" i="3" s="1"/>
  <c r="F185" i="3" s="1"/>
  <c r="N186" i="3"/>
  <c r="M186" i="3"/>
  <c r="L186" i="3"/>
  <c r="L185" i="3" s="1"/>
  <c r="K186" i="3"/>
  <c r="K185" i="3" s="1"/>
  <c r="I186" i="3"/>
  <c r="I185" i="3" s="1"/>
  <c r="N185" i="3"/>
  <c r="M185" i="3"/>
  <c r="J185" i="3"/>
  <c r="N182" i="3"/>
  <c r="M182" i="3"/>
  <c r="L182" i="3"/>
  <c r="K182" i="3"/>
  <c r="I182" i="3"/>
  <c r="H182" i="3"/>
  <c r="G182" i="3"/>
  <c r="F182" i="3"/>
  <c r="N181" i="3"/>
  <c r="M181" i="3"/>
  <c r="L181" i="3"/>
  <c r="K181" i="3"/>
  <c r="I181" i="3"/>
  <c r="I180" i="3" s="1"/>
  <c r="H181" i="3"/>
  <c r="H180" i="3" s="1"/>
  <c r="G181" i="3"/>
  <c r="G180" i="3" s="1"/>
  <c r="F181" i="3"/>
  <c r="F180" i="3" s="1"/>
  <c r="N180" i="3"/>
  <c r="M180" i="3"/>
  <c r="L180" i="3"/>
  <c r="K180" i="3"/>
  <c r="J180" i="3"/>
  <c r="J170" i="3" s="1"/>
  <c r="N177" i="3"/>
  <c r="M177" i="3"/>
  <c r="L177" i="3"/>
  <c r="K177" i="3"/>
  <c r="I177" i="3"/>
  <c r="H177" i="3"/>
  <c r="G177" i="3"/>
  <c r="F177" i="3"/>
  <c r="N176" i="3"/>
  <c r="M176" i="3"/>
  <c r="L176" i="3"/>
  <c r="K176" i="3"/>
  <c r="I176" i="3"/>
  <c r="H176" i="3"/>
  <c r="G176" i="3"/>
  <c r="F176" i="3"/>
  <c r="F175" i="3" s="1"/>
  <c r="N175" i="3"/>
  <c r="M175" i="3"/>
  <c r="L175" i="3"/>
  <c r="K175" i="3"/>
  <c r="I175" i="3"/>
  <c r="H175" i="3"/>
  <c r="G175" i="3"/>
  <c r="M169" i="3"/>
  <c r="H169" i="3"/>
  <c r="N169" i="3" s="1"/>
  <c r="G168" i="3"/>
  <c r="M168" i="3" s="1"/>
  <c r="G167" i="3"/>
  <c r="M167" i="3" s="1"/>
  <c r="N161" i="3"/>
  <c r="N160" i="3" s="1"/>
  <c r="M161" i="3"/>
  <c r="L161" i="3"/>
  <c r="L160" i="3" s="1"/>
  <c r="K161" i="3"/>
  <c r="K160" i="3" s="1"/>
  <c r="I161" i="3"/>
  <c r="I160" i="3" s="1"/>
  <c r="H161" i="3"/>
  <c r="H160" i="3" s="1"/>
  <c r="G161" i="3"/>
  <c r="G160" i="3" s="1"/>
  <c r="F161" i="3"/>
  <c r="F160" i="3" s="1"/>
  <c r="N158" i="3"/>
  <c r="M158" i="3"/>
  <c r="L158" i="3"/>
  <c r="K158" i="3"/>
  <c r="I158" i="3"/>
  <c r="H158" i="3"/>
  <c r="G158" i="3"/>
  <c r="F158" i="3"/>
  <c r="N157" i="3"/>
  <c r="M157" i="3"/>
  <c r="L157" i="3"/>
  <c r="K157" i="3"/>
  <c r="K156" i="3" s="1"/>
  <c r="I157" i="3"/>
  <c r="H157" i="3"/>
  <c r="G157" i="3"/>
  <c r="F157" i="3"/>
  <c r="J156" i="3"/>
  <c r="L155" i="3"/>
  <c r="F155" i="3"/>
  <c r="N154" i="3"/>
  <c r="M154" i="3"/>
  <c r="L154" i="3"/>
  <c r="K154" i="3"/>
  <c r="I154" i="3"/>
  <c r="H154" i="3"/>
  <c r="G154" i="3"/>
  <c r="F154" i="3"/>
  <c r="N152" i="3"/>
  <c r="M152" i="3"/>
  <c r="L152" i="3"/>
  <c r="K152" i="3"/>
  <c r="I152" i="3"/>
  <c r="H152" i="3"/>
  <c r="G152" i="3"/>
  <c r="F152" i="3"/>
  <c r="N151" i="3"/>
  <c r="M151" i="3"/>
  <c r="L151" i="3"/>
  <c r="K151" i="3"/>
  <c r="I151" i="3"/>
  <c r="I150" i="3" s="1"/>
  <c r="H151" i="3"/>
  <c r="H150" i="3" s="1"/>
  <c r="G151" i="3"/>
  <c r="G150" i="3" s="1"/>
  <c r="F151" i="3"/>
  <c r="N150" i="3"/>
  <c r="M150" i="3"/>
  <c r="L150" i="3"/>
  <c r="K150" i="3"/>
  <c r="J150" i="3"/>
  <c r="F150" i="3"/>
  <c r="L149" i="3"/>
  <c r="L148" i="3" s="1"/>
  <c r="H148" i="3"/>
  <c r="F149" i="3"/>
  <c r="F148" i="3" s="1"/>
  <c r="N148" i="3"/>
  <c r="M148" i="3"/>
  <c r="K148" i="3"/>
  <c r="I148" i="3"/>
  <c r="G148" i="3"/>
  <c r="N146" i="3"/>
  <c r="M146" i="3"/>
  <c r="L146" i="3"/>
  <c r="K146" i="3"/>
  <c r="I146" i="3"/>
  <c r="H146" i="3"/>
  <c r="G146" i="3"/>
  <c r="F146" i="3"/>
  <c r="N142" i="3"/>
  <c r="M142" i="3"/>
  <c r="L142" i="3"/>
  <c r="K142" i="3"/>
  <c r="I142" i="3"/>
  <c r="H142" i="3"/>
  <c r="G142" i="3"/>
  <c r="F142" i="3"/>
  <c r="N140" i="3"/>
  <c r="M140" i="3"/>
  <c r="L140" i="3"/>
  <c r="K140" i="3"/>
  <c r="I140" i="3"/>
  <c r="H140" i="3"/>
  <c r="G140" i="3"/>
  <c r="F140" i="3"/>
  <c r="N138" i="3"/>
  <c r="M138" i="3"/>
  <c r="L138" i="3"/>
  <c r="K138" i="3"/>
  <c r="I138" i="3"/>
  <c r="H138" i="3"/>
  <c r="G138" i="3"/>
  <c r="F138" i="3"/>
  <c r="N136" i="3"/>
  <c r="M136" i="3"/>
  <c r="L136" i="3"/>
  <c r="K136" i="3"/>
  <c r="I136" i="3"/>
  <c r="H136" i="3"/>
  <c r="G136" i="3"/>
  <c r="F136" i="3"/>
  <c r="I135" i="3"/>
  <c r="I134" i="3" s="1"/>
  <c r="J134" i="3"/>
  <c r="K133" i="3"/>
  <c r="N133" i="3" s="1"/>
  <c r="N132" i="3" s="1"/>
  <c r="I133" i="3"/>
  <c r="L133" i="3" s="1"/>
  <c r="L132" i="3" s="1"/>
  <c r="M132" i="3"/>
  <c r="K132" i="3"/>
  <c r="H132" i="3"/>
  <c r="G132" i="3"/>
  <c r="F132" i="3"/>
  <c r="L131" i="3"/>
  <c r="L130" i="3" s="1"/>
  <c r="K131" i="3"/>
  <c r="K130" i="3" s="1"/>
  <c r="I131" i="3"/>
  <c r="I130" i="3" s="1"/>
  <c r="N130" i="3"/>
  <c r="M130" i="3"/>
  <c r="H130" i="3"/>
  <c r="G130" i="3"/>
  <c r="F130" i="3"/>
  <c r="N129" i="3"/>
  <c r="N128" i="3" s="1"/>
  <c r="L129" i="3"/>
  <c r="M128" i="3"/>
  <c r="L128" i="3"/>
  <c r="K128" i="3"/>
  <c r="I128" i="3"/>
  <c r="H128" i="3"/>
  <c r="G128" i="3"/>
  <c r="F128" i="3"/>
  <c r="L125" i="3"/>
  <c r="K125" i="3"/>
  <c r="I125" i="3"/>
  <c r="F125" i="3"/>
  <c r="J123" i="3"/>
  <c r="N122" i="3"/>
  <c r="N121" i="3" s="1"/>
  <c r="N120" i="3" s="1"/>
  <c r="N119" i="3" s="1"/>
  <c r="L122" i="3"/>
  <c r="L121" i="3" s="1"/>
  <c r="L120" i="3" s="1"/>
  <c r="L119" i="3" s="1"/>
  <c r="M121" i="3"/>
  <c r="M120" i="3" s="1"/>
  <c r="M119" i="3" s="1"/>
  <c r="K121" i="3"/>
  <c r="K120" i="3" s="1"/>
  <c r="K119" i="3" s="1"/>
  <c r="I121" i="3"/>
  <c r="I120" i="3" s="1"/>
  <c r="I119" i="3" s="1"/>
  <c r="H121" i="3"/>
  <c r="H120" i="3" s="1"/>
  <c r="H119" i="3" s="1"/>
  <c r="G121" i="3"/>
  <c r="G120" i="3" s="1"/>
  <c r="G119" i="3" s="1"/>
  <c r="F121" i="3"/>
  <c r="F120" i="3" s="1"/>
  <c r="F119" i="3" s="1"/>
  <c r="N113" i="3"/>
  <c r="M113" i="3"/>
  <c r="L113" i="3"/>
  <c r="K113" i="3"/>
  <c r="K112" i="3" s="1"/>
  <c r="I113" i="3"/>
  <c r="I112" i="3" s="1"/>
  <c r="H113" i="3"/>
  <c r="H112" i="3" s="1"/>
  <c r="G113" i="3"/>
  <c r="G112" i="3" s="1"/>
  <c r="F113" i="3"/>
  <c r="F112" i="3" s="1"/>
  <c r="N112" i="3"/>
  <c r="M112" i="3"/>
  <c r="L112" i="3"/>
  <c r="N106" i="3"/>
  <c r="N105" i="3" s="1"/>
  <c r="M106" i="3"/>
  <c r="M105" i="3" s="1"/>
  <c r="M104" i="3" s="1"/>
  <c r="L106" i="3"/>
  <c r="L105" i="3" s="1"/>
  <c r="K106" i="3"/>
  <c r="I106" i="3"/>
  <c r="I105" i="3" s="1"/>
  <c r="H106" i="3"/>
  <c r="H105" i="3" s="1"/>
  <c r="G106" i="3"/>
  <c r="G105" i="3" s="1"/>
  <c r="F106" i="3"/>
  <c r="K105" i="3"/>
  <c r="F105" i="3"/>
  <c r="J104" i="3"/>
  <c r="N103" i="3"/>
  <c r="L103" i="3"/>
  <c r="L102" i="3" s="1"/>
  <c r="L101" i="3" s="1"/>
  <c r="H103" i="3"/>
  <c r="F103" i="3"/>
  <c r="F102" i="3" s="1"/>
  <c r="F101" i="3" s="1"/>
  <c r="N102" i="3"/>
  <c r="N101" i="3" s="1"/>
  <c r="M102" i="3"/>
  <c r="M101" i="3" s="1"/>
  <c r="K102" i="3"/>
  <c r="K101" i="3" s="1"/>
  <c r="I102" i="3"/>
  <c r="I101" i="3" s="1"/>
  <c r="H102" i="3"/>
  <c r="H101" i="3" s="1"/>
  <c r="G102" i="3"/>
  <c r="G101" i="3" s="1"/>
  <c r="N99" i="3"/>
  <c r="M99" i="3"/>
  <c r="L99" i="3"/>
  <c r="K99" i="3"/>
  <c r="I99" i="3"/>
  <c r="H99" i="3"/>
  <c r="G99" i="3"/>
  <c r="F99" i="3"/>
  <c r="M96" i="3"/>
  <c r="N96" i="3" s="1"/>
  <c r="M95" i="3"/>
  <c r="N95" i="3" s="1"/>
  <c r="L95" i="3"/>
  <c r="L94" i="3" s="1"/>
  <c r="L93" i="3" s="1"/>
  <c r="F95" i="3"/>
  <c r="F94" i="3" s="1"/>
  <c r="F93" i="3" s="1"/>
  <c r="K94" i="3"/>
  <c r="K93" i="3" s="1"/>
  <c r="J94" i="3"/>
  <c r="I94" i="3"/>
  <c r="I93" i="3" s="1"/>
  <c r="H94" i="3"/>
  <c r="H93" i="3" s="1"/>
  <c r="G94" i="3"/>
  <c r="G93" i="3" s="1"/>
  <c r="L91" i="3"/>
  <c r="L90" i="3" s="1"/>
  <c r="L87" i="3" s="1"/>
  <c r="L86" i="3" s="1"/>
  <c r="M86" i="3"/>
  <c r="K87" i="3"/>
  <c r="K86" i="3" s="1"/>
  <c r="I87" i="3"/>
  <c r="I86" i="3" s="1"/>
  <c r="G86" i="3"/>
  <c r="F87" i="3"/>
  <c r="F86" i="3" s="1"/>
  <c r="H86" i="3"/>
  <c r="J86" i="3"/>
  <c r="N83" i="3"/>
  <c r="N82" i="3" s="1"/>
  <c r="N81" i="3" s="1"/>
  <c r="M83" i="3"/>
  <c r="M82" i="3" s="1"/>
  <c r="M81" i="3" s="1"/>
  <c r="L83" i="3"/>
  <c r="L82" i="3" s="1"/>
  <c r="L81" i="3" s="1"/>
  <c r="K83" i="3"/>
  <c r="K82" i="3" s="1"/>
  <c r="K81" i="3" s="1"/>
  <c r="I83" i="3"/>
  <c r="I82" i="3" s="1"/>
  <c r="I81" i="3" s="1"/>
  <c r="H83" i="3"/>
  <c r="H82" i="3" s="1"/>
  <c r="H81" i="3" s="1"/>
  <c r="G83" i="3"/>
  <c r="G82" i="3" s="1"/>
  <c r="G81" i="3" s="1"/>
  <c r="F83" i="3"/>
  <c r="F82" i="3" s="1"/>
  <c r="F81" i="3" s="1"/>
  <c r="J81" i="3"/>
  <c r="N79" i="3"/>
  <c r="N78" i="3" s="1"/>
  <c r="M79" i="3"/>
  <c r="M78" i="3" s="1"/>
  <c r="L79" i="3"/>
  <c r="L78" i="3" s="1"/>
  <c r="K79" i="3"/>
  <c r="K78" i="3" s="1"/>
  <c r="I79" i="3"/>
  <c r="I78" i="3" s="1"/>
  <c r="H79" i="3"/>
  <c r="H78" i="3" s="1"/>
  <c r="G79" i="3"/>
  <c r="G78" i="3" s="1"/>
  <c r="F79" i="3"/>
  <c r="F78" i="3" s="1"/>
  <c r="N76" i="3"/>
  <c r="N75" i="3" s="1"/>
  <c r="M76" i="3"/>
  <c r="L76" i="3"/>
  <c r="L75" i="3" s="1"/>
  <c r="K76" i="3"/>
  <c r="K75" i="3" s="1"/>
  <c r="I76" i="3"/>
  <c r="I75" i="3" s="1"/>
  <c r="H76" i="3"/>
  <c r="H75" i="3" s="1"/>
  <c r="G76" i="3"/>
  <c r="G75" i="3" s="1"/>
  <c r="F76" i="3"/>
  <c r="F75" i="3" s="1"/>
  <c r="M75" i="3"/>
  <c r="J74" i="3"/>
  <c r="J73" i="3"/>
  <c r="N70" i="3"/>
  <c r="M70" i="3"/>
  <c r="L70" i="3"/>
  <c r="K70" i="3"/>
  <c r="I70" i="3"/>
  <c r="H70" i="3"/>
  <c r="G70" i="3"/>
  <c r="F70" i="3"/>
  <c r="N69" i="3"/>
  <c r="M69" i="3"/>
  <c r="M68" i="3" s="1"/>
  <c r="L69" i="3"/>
  <c r="L68" i="3" s="1"/>
  <c r="K69" i="3"/>
  <c r="K68" i="3" s="1"/>
  <c r="I69" i="3"/>
  <c r="I68" i="3" s="1"/>
  <c r="H69" i="3"/>
  <c r="H68" i="3" s="1"/>
  <c r="G69" i="3"/>
  <c r="G68" i="3" s="1"/>
  <c r="F69" i="3"/>
  <c r="F68" i="3" s="1"/>
  <c r="N68" i="3"/>
  <c r="J68" i="3"/>
  <c r="N64" i="3"/>
  <c r="M64" i="3"/>
  <c r="M63" i="3" s="1"/>
  <c r="L64" i="3"/>
  <c r="K64" i="3"/>
  <c r="I64" i="3"/>
  <c r="H64" i="3"/>
  <c r="H63" i="3" s="1"/>
  <c r="G64" i="3"/>
  <c r="G63" i="3" s="1"/>
  <c r="F64" i="3"/>
  <c r="F63" i="3" s="1"/>
  <c r="N63" i="3"/>
  <c r="L63" i="3"/>
  <c r="K63" i="3"/>
  <c r="I63" i="3"/>
  <c r="N62" i="3"/>
  <c r="L62" i="3"/>
  <c r="N61" i="3"/>
  <c r="L61" i="3"/>
  <c r="N60" i="3"/>
  <c r="L60" i="3"/>
  <c r="N59" i="3"/>
  <c r="N58" i="3" s="1"/>
  <c r="L59" i="3"/>
  <c r="L58" i="3" s="1"/>
  <c r="N52" i="3"/>
  <c r="L52" i="3"/>
  <c r="H52" i="3"/>
  <c r="F52" i="3"/>
  <c r="N50" i="3"/>
  <c r="L50" i="3"/>
  <c r="L49" i="3" s="1"/>
  <c r="H50" i="3"/>
  <c r="H49" i="3" s="1"/>
  <c r="H48" i="3" s="1"/>
  <c r="F50" i="3"/>
  <c r="F49" i="3" s="1"/>
  <c r="F48" i="3" s="1"/>
  <c r="N49" i="3"/>
  <c r="M49" i="3"/>
  <c r="M48" i="3" s="1"/>
  <c r="K49" i="3"/>
  <c r="K48" i="3" s="1"/>
  <c r="I49" i="3"/>
  <c r="G49" i="3"/>
  <c r="G48" i="3" s="1"/>
  <c r="I48" i="3"/>
  <c r="I47" i="3" s="1"/>
  <c r="J47" i="3"/>
  <c r="N45" i="3"/>
  <c r="M45" i="3"/>
  <c r="L45" i="3"/>
  <c r="K45" i="3"/>
  <c r="I45" i="3"/>
  <c r="H45" i="3"/>
  <c r="G45" i="3"/>
  <c r="F45" i="3"/>
  <c r="N43" i="3"/>
  <c r="M43" i="3"/>
  <c r="L43" i="3"/>
  <c r="K43" i="3"/>
  <c r="I43" i="3"/>
  <c r="H43" i="3"/>
  <c r="G43" i="3"/>
  <c r="F43" i="3"/>
  <c r="N41" i="3"/>
  <c r="M41" i="3"/>
  <c r="L41" i="3"/>
  <c r="K41" i="3"/>
  <c r="I41" i="3"/>
  <c r="H41" i="3"/>
  <c r="G41" i="3"/>
  <c r="G40" i="3" s="1"/>
  <c r="G39" i="3" s="1"/>
  <c r="F41" i="3"/>
  <c r="F40" i="3" s="1"/>
  <c r="F39" i="3" s="1"/>
  <c r="N40" i="3"/>
  <c r="N39" i="3" s="1"/>
  <c r="M40" i="3"/>
  <c r="M39" i="3" s="1"/>
  <c r="L40" i="3"/>
  <c r="L39" i="3" s="1"/>
  <c r="K40" i="3"/>
  <c r="K39" i="3" s="1"/>
  <c r="I40" i="3"/>
  <c r="H40" i="3"/>
  <c r="H39" i="3" s="1"/>
  <c r="I39" i="3"/>
  <c r="N35" i="3"/>
  <c r="M35" i="3"/>
  <c r="L35" i="3"/>
  <c r="K35" i="3"/>
  <c r="I35" i="3"/>
  <c r="H35" i="3"/>
  <c r="H34" i="3" s="1"/>
  <c r="H33" i="3" s="1"/>
  <c r="G35" i="3"/>
  <c r="F35" i="3"/>
  <c r="F34" i="3" s="1"/>
  <c r="F33" i="3" s="1"/>
  <c r="N34" i="3"/>
  <c r="N33" i="3" s="1"/>
  <c r="M34" i="3"/>
  <c r="M33" i="3" s="1"/>
  <c r="L34" i="3"/>
  <c r="L33" i="3" s="1"/>
  <c r="K34" i="3"/>
  <c r="K33" i="3" s="1"/>
  <c r="I34" i="3"/>
  <c r="I33" i="3" s="1"/>
  <c r="G34" i="3"/>
  <c r="G33" i="3" s="1"/>
  <c r="J33" i="3"/>
  <c r="N29" i="3"/>
  <c r="M29" i="3"/>
  <c r="L29" i="3"/>
  <c r="K29" i="3"/>
  <c r="I29" i="3"/>
  <c r="H29" i="3"/>
  <c r="G29" i="3"/>
  <c r="F29" i="3"/>
  <c r="N25" i="3"/>
  <c r="N24" i="3" s="1"/>
  <c r="M25" i="3"/>
  <c r="M24" i="3" s="1"/>
  <c r="L25" i="3"/>
  <c r="L24" i="3" s="1"/>
  <c r="K25" i="3"/>
  <c r="I25" i="3"/>
  <c r="I24" i="3" s="1"/>
  <c r="H25" i="3"/>
  <c r="H24" i="3" s="1"/>
  <c r="G25" i="3"/>
  <c r="F25" i="3"/>
  <c r="F24" i="3" s="1"/>
  <c r="N22" i="3"/>
  <c r="M22" i="3"/>
  <c r="L22" i="3"/>
  <c r="K22" i="3"/>
  <c r="I22" i="3"/>
  <c r="H22" i="3"/>
  <c r="G22" i="3"/>
  <c r="F22" i="3"/>
  <c r="N20" i="3"/>
  <c r="M20" i="3"/>
  <c r="L20" i="3"/>
  <c r="K20" i="3"/>
  <c r="I20" i="3"/>
  <c r="H20" i="3"/>
  <c r="G20" i="3"/>
  <c r="F20" i="3"/>
  <c r="N19" i="3"/>
  <c r="M19" i="3"/>
  <c r="L19" i="3"/>
  <c r="K19" i="3"/>
  <c r="I19" i="3"/>
  <c r="H19" i="3"/>
  <c r="G19" i="3"/>
  <c r="F19" i="3"/>
  <c r="M89" i="2"/>
  <c r="N89" i="2" s="1"/>
  <c r="M90" i="2"/>
  <c r="J88" i="2"/>
  <c r="J87" i="2" s="1"/>
  <c r="M149" i="2"/>
  <c r="H149" i="2"/>
  <c r="N149" i="2" s="1"/>
  <c r="G148" i="2"/>
  <c r="H148" i="2" s="1"/>
  <c r="N148" i="2" s="1"/>
  <c r="J118" i="3" l="1"/>
  <c r="J193" i="3"/>
  <c r="I204" i="3"/>
  <c r="L204" i="3"/>
  <c r="K224" i="3"/>
  <c r="K223" i="3" s="1"/>
  <c r="J202" i="3"/>
  <c r="G320" i="3"/>
  <c r="G319" i="3" s="1"/>
  <c r="M325" i="3"/>
  <c r="M314" i="3" s="1"/>
  <c r="G104" i="3"/>
  <c r="I203" i="3"/>
  <c r="K193" i="3"/>
  <c r="F292" i="3"/>
  <c r="G292" i="3"/>
  <c r="L292" i="3"/>
  <c r="N104" i="3"/>
  <c r="L104" i="3"/>
  <c r="J93" i="3"/>
  <c r="J92" i="3" s="1"/>
  <c r="J85" i="3" s="1"/>
  <c r="H104" i="3"/>
  <c r="H124" i="3"/>
  <c r="H123" i="3" s="1"/>
  <c r="M124" i="3"/>
  <c r="M123" i="3" s="1"/>
  <c r="M135" i="3"/>
  <c r="N279" i="3"/>
  <c r="L287" i="3"/>
  <c r="L286" i="3" s="1"/>
  <c r="H320" i="3"/>
  <c r="H319" i="3" s="1"/>
  <c r="K47" i="3"/>
  <c r="N193" i="3"/>
  <c r="F224" i="3"/>
  <c r="F223" i="3" s="1"/>
  <c r="K279" i="3"/>
  <c r="F283" i="3"/>
  <c r="L18" i="3"/>
  <c r="F18" i="3"/>
  <c r="M74" i="3"/>
  <c r="M73" i="3" s="1"/>
  <c r="F124" i="3"/>
  <c r="F123" i="3" s="1"/>
  <c r="L224" i="3"/>
  <c r="L223" i="3" s="1"/>
  <c r="I279" i="3"/>
  <c r="L283" i="3"/>
  <c r="I287" i="3"/>
  <c r="I286" i="3" s="1"/>
  <c r="N320" i="3"/>
  <c r="N319" i="3" s="1"/>
  <c r="I331" i="3"/>
  <c r="G24" i="3"/>
  <c r="N204" i="3"/>
  <c r="N203" i="3" s="1"/>
  <c r="K203" i="3"/>
  <c r="K202" i="3" s="1"/>
  <c r="L320" i="3"/>
  <c r="L319" i="3" s="1"/>
  <c r="F135" i="3"/>
  <c r="F134" i="3" s="1"/>
  <c r="F193" i="3"/>
  <c r="L48" i="3"/>
  <c r="L47" i="3" s="1"/>
  <c r="G92" i="3"/>
  <c r="G85" i="3" s="1"/>
  <c r="K104" i="3"/>
  <c r="G124" i="3"/>
  <c r="G123" i="3" s="1"/>
  <c r="K135" i="3"/>
  <c r="K134" i="3" s="1"/>
  <c r="H135" i="3"/>
  <c r="F170" i="3"/>
  <c r="H224" i="3"/>
  <c r="H223" i="3" s="1"/>
  <c r="K240" i="3"/>
  <c r="J272" i="3"/>
  <c r="H325" i="3"/>
  <c r="L135" i="3"/>
  <c r="L134" i="3" s="1"/>
  <c r="G135" i="3"/>
  <c r="L240" i="3"/>
  <c r="I18" i="3"/>
  <c r="N18" i="3"/>
  <c r="F47" i="3"/>
  <c r="I132" i="3"/>
  <c r="N135" i="3"/>
  <c r="L156" i="3"/>
  <c r="M193" i="3"/>
  <c r="I273" i="3"/>
  <c r="F279" i="3"/>
  <c r="H287" i="3"/>
  <c r="H286" i="3" s="1"/>
  <c r="K292" i="3"/>
  <c r="H292" i="3"/>
  <c r="M292" i="3"/>
  <c r="K331" i="3"/>
  <c r="K325" i="3" s="1"/>
  <c r="K314" i="3" s="1"/>
  <c r="N48" i="3"/>
  <c r="N47" i="3" s="1"/>
  <c r="N38" i="3" s="1"/>
  <c r="I124" i="3"/>
  <c r="I123" i="3" s="1"/>
  <c r="F203" i="3"/>
  <c r="F202" i="3" s="1"/>
  <c r="K273" i="3"/>
  <c r="F273" i="3"/>
  <c r="I292" i="3"/>
  <c r="I272" i="3" s="1"/>
  <c r="F320" i="3"/>
  <c r="F319" i="3" s="1"/>
  <c r="H204" i="3"/>
  <c r="H203" i="3" s="1"/>
  <c r="H202" i="3" s="1"/>
  <c r="H92" i="3"/>
  <c r="M47" i="3"/>
  <c r="M38" i="3" s="1"/>
  <c r="H74" i="3"/>
  <c r="N74" i="3"/>
  <c r="I74" i="3"/>
  <c r="I73" i="3" s="1"/>
  <c r="L74" i="3"/>
  <c r="L73" i="3" s="1"/>
  <c r="H47" i="3"/>
  <c r="H38" i="3" s="1"/>
  <c r="N273" i="3"/>
  <c r="M18" i="3"/>
  <c r="M204" i="3"/>
  <c r="M203" i="3" s="1"/>
  <c r="M202" i="3" s="1"/>
  <c r="H279" i="3"/>
  <c r="H273" i="3" s="1"/>
  <c r="K74" i="3"/>
  <c r="K73" i="3" s="1"/>
  <c r="F74" i="3"/>
  <c r="F73" i="3" s="1"/>
  <c r="G74" i="3"/>
  <c r="G73" i="3" s="1"/>
  <c r="F104" i="3"/>
  <c r="G47" i="3"/>
  <c r="G38" i="3" s="1"/>
  <c r="I202" i="3"/>
  <c r="F325" i="3"/>
  <c r="N90" i="3"/>
  <c r="K170" i="3"/>
  <c r="H193" i="3"/>
  <c r="G203" i="3"/>
  <c r="G202" i="3" s="1"/>
  <c r="L203" i="3"/>
  <c r="L202" i="3" s="1"/>
  <c r="K259" i="3"/>
  <c r="K258" i="3" s="1"/>
  <c r="K257" i="3" s="1"/>
  <c r="N325" i="3"/>
  <c r="M148" i="2"/>
  <c r="H18" i="3"/>
  <c r="K18" i="3"/>
  <c r="L124" i="3"/>
  <c r="L123" i="3" s="1"/>
  <c r="L118" i="3" s="1"/>
  <c r="F156" i="3"/>
  <c r="F118" i="3" s="1"/>
  <c r="H167" i="3"/>
  <c r="N167" i="3" s="1"/>
  <c r="N156" i="3" s="1"/>
  <c r="H168" i="3"/>
  <c r="N168" i="3" s="1"/>
  <c r="L170" i="3"/>
  <c r="I193" i="3"/>
  <c r="M259" i="3"/>
  <c r="M258" i="3" s="1"/>
  <c r="M257" i="3" s="1"/>
  <c r="N264" i="3"/>
  <c r="N263" i="3" s="1"/>
  <c r="G272" i="3"/>
  <c r="I325" i="3"/>
  <c r="I314" i="3" s="1"/>
  <c r="G18" i="3"/>
  <c r="I92" i="3"/>
  <c r="M273" i="3"/>
  <c r="N292" i="3"/>
  <c r="N272" i="3" s="1"/>
  <c r="G325" i="3"/>
  <c r="G147" i="2"/>
  <c r="J38" i="3"/>
  <c r="N94" i="3"/>
  <c r="I104" i="3"/>
  <c r="G170" i="3"/>
  <c r="L193" i="3"/>
  <c r="G193" i="3"/>
  <c r="M240" i="3"/>
  <c r="H240" i="3"/>
  <c r="L279" i="3"/>
  <c r="L273" i="3" s="1"/>
  <c r="L272" i="3" s="1"/>
  <c r="L331" i="3"/>
  <c r="L325" i="3" s="1"/>
  <c r="H134" i="3"/>
  <c r="I170" i="3"/>
  <c r="I156" i="3"/>
  <c r="H156" i="3"/>
  <c r="M170" i="3"/>
  <c r="N202" i="3"/>
  <c r="J240" i="3"/>
  <c r="N240" i="3"/>
  <c r="I240" i="3"/>
  <c r="G240" i="3"/>
  <c r="N170" i="3"/>
  <c r="F240" i="3"/>
  <c r="N259" i="3"/>
  <c r="N258" i="3" s="1"/>
  <c r="N257" i="3" s="1"/>
  <c r="H259" i="3"/>
  <c r="H258" i="3" s="1"/>
  <c r="H257" i="3" s="1"/>
  <c r="G259" i="3"/>
  <c r="G258" i="3" s="1"/>
  <c r="G257" i="3" s="1"/>
  <c r="H170" i="3"/>
  <c r="M165" i="3"/>
  <c r="G156" i="3"/>
  <c r="M134" i="3"/>
  <c r="N134" i="3"/>
  <c r="G134" i="3"/>
  <c r="N124" i="3"/>
  <c r="N123" i="3" s="1"/>
  <c r="M94" i="3"/>
  <c r="H73" i="3"/>
  <c r="L38" i="3"/>
  <c r="I38" i="3"/>
  <c r="K38" i="3"/>
  <c r="N73" i="3"/>
  <c r="I118" i="3"/>
  <c r="F38" i="3"/>
  <c r="L92" i="3"/>
  <c r="L85" i="3" s="1"/>
  <c r="F92" i="3"/>
  <c r="K92" i="3"/>
  <c r="K124" i="3"/>
  <c r="K123" i="3" s="1"/>
  <c r="K118" i="3" s="1"/>
  <c r="L259" i="3"/>
  <c r="L258" i="3" s="1"/>
  <c r="L257" i="3" s="1"/>
  <c r="N307" i="2"/>
  <c r="L307" i="2"/>
  <c r="N55" i="2"/>
  <c r="L55" i="2"/>
  <c r="N56" i="2"/>
  <c r="L56" i="2"/>
  <c r="N57" i="2"/>
  <c r="L57" i="2"/>
  <c r="N58" i="2"/>
  <c r="L58" i="2"/>
  <c r="N108" i="2"/>
  <c r="L108" i="2"/>
  <c r="N114" i="2"/>
  <c r="L114" i="2"/>
  <c r="N116" i="2"/>
  <c r="L116" i="2"/>
  <c r="N85" i="2"/>
  <c r="L85" i="2"/>
  <c r="N87" i="3" l="1"/>
  <c r="N86" i="3" s="1"/>
  <c r="F314" i="3"/>
  <c r="L314" i="3"/>
  <c r="N314" i="3"/>
  <c r="H314" i="3"/>
  <c r="F272" i="3"/>
  <c r="G314" i="3"/>
  <c r="M272" i="3"/>
  <c r="K85" i="3"/>
  <c r="M160" i="3"/>
  <c r="M156" i="3" s="1"/>
  <c r="M118" i="3" s="1"/>
  <c r="G118" i="3"/>
  <c r="G17" i="3" s="1"/>
  <c r="G16" i="3" s="1"/>
  <c r="H85" i="3"/>
  <c r="M93" i="3"/>
  <c r="M92" i="3" s="1"/>
  <c r="M85" i="3" s="1"/>
  <c r="N93" i="3"/>
  <c r="N92" i="3" s="1"/>
  <c r="H272" i="3"/>
  <c r="K272" i="3"/>
  <c r="I85" i="3"/>
  <c r="I17" i="3" s="1"/>
  <c r="I16" i="3" s="1"/>
  <c r="F85" i="3"/>
  <c r="F17" i="3" s="1"/>
  <c r="F16" i="3" s="1"/>
  <c r="H118" i="3"/>
  <c r="H147" i="2"/>
  <c r="N147" i="2" s="1"/>
  <c r="M147" i="2"/>
  <c r="J17" i="3"/>
  <c r="J16" i="3" s="1"/>
  <c r="N118" i="3"/>
  <c r="L17" i="3"/>
  <c r="L16" i="3" s="1"/>
  <c r="N85" i="3" l="1"/>
  <c r="N17" i="3" s="1"/>
  <c r="N16" i="3" s="1"/>
  <c r="K17" i="3"/>
  <c r="K16" i="3" s="1"/>
  <c r="H17" i="3"/>
  <c r="H16" i="3" s="1"/>
  <c r="M17" i="3"/>
  <c r="M16" i="3" s="1"/>
  <c r="N172" i="2"/>
  <c r="L172" i="2"/>
  <c r="M313" i="2" l="1"/>
  <c r="M312" i="2" s="1"/>
  <c r="M310" i="2"/>
  <c r="M306" i="2" s="1"/>
  <c r="M302" i="2"/>
  <c r="M301" i="2" s="1"/>
  <c r="M300" i="2" s="1"/>
  <c r="M298" i="2"/>
  <c r="M296" i="2"/>
  <c r="M292" i="2"/>
  <c r="M291" i="2"/>
  <c r="M290" i="2" s="1"/>
  <c r="M287" i="2"/>
  <c r="M286" i="2" s="1"/>
  <c r="M285" i="2" s="1"/>
  <c r="M283" i="2"/>
  <c r="M282" i="2" s="1"/>
  <c r="M281" i="2" s="1"/>
  <c r="M278" i="2"/>
  <c r="M277" i="2" s="1"/>
  <c r="M275" i="2"/>
  <c r="M274" i="2" s="1"/>
  <c r="M271" i="2"/>
  <c r="M270" i="2" s="1"/>
  <c r="M267" i="2"/>
  <c r="M265" i="2"/>
  <c r="M257" i="2"/>
  <c r="M256" i="2" s="1"/>
  <c r="M252" i="2"/>
  <c r="M251" i="2" s="1"/>
  <c r="M246" i="2"/>
  <c r="M245" i="2"/>
  <c r="M243" i="2"/>
  <c r="M242" i="2"/>
  <c r="M240" i="2" s="1"/>
  <c r="M234" i="2"/>
  <c r="M233" i="2" s="1"/>
  <c r="M232" i="2" s="1"/>
  <c r="M230" i="2"/>
  <c r="M229" i="2" s="1"/>
  <c r="M228" i="2" s="1"/>
  <c r="M225" i="2"/>
  <c r="M223" i="2"/>
  <c r="M218" i="2"/>
  <c r="M217" i="2" s="1"/>
  <c r="M215" i="2"/>
  <c r="M214" i="2" s="1"/>
  <c r="M211" i="2"/>
  <c r="M210" i="2" s="1"/>
  <c r="M209" i="2" s="1"/>
  <c r="M207" i="2"/>
  <c r="M205" i="2"/>
  <c r="M201" i="2"/>
  <c r="M200" i="2" s="1"/>
  <c r="M199" i="2" s="1"/>
  <c r="M197" i="2"/>
  <c r="M196" i="2" s="1"/>
  <c r="M194" i="2"/>
  <c r="M193" i="2" s="1"/>
  <c r="M191" i="2"/>
  <c r="M189" i="2"/>
  <c r="M185" i="2"/>
  <c r="M180" i="2"/>
  <c r="M179" i="2"/>
  <c r="M178" i="2" s="1"/>
  <c r="M176" i="2"/>
  <c r="M175" i="2" s="1"/>
  <c r="M174" i="2" s="1"/>
  <c r="M171" i="2"/>
  <c r="M170" i="2" s="1"/>
  <c r="M169" i="2" s="1"/>
  <c r="M167" i="2"/>
  <c r="M166" i="2" s="1"/>
  <c r="M165" i="2" s="1"/>
  <c r="M162" i="2"/>
  <c r="M161" i="2"/>
  <c r="M160" i="2" s="1"/>
  <c r="M157" i="2"/>
  <c r="M156" i="2" s="1"/>
  <c r="M155" i="2" s="1"/>
  <c r="M144" i="2"/>
  <c r="M143" i="2" s="1"/>
  <c r="M141" i="2"/>
  <c r="M140" i="2" s="1"/>
  <c r="M137" i="2"/>
  <c r="M135" i="2"/>
  <c r="M131" i="2"/>
  <c r="M129" i="2"/>
  <c r="M127" i="2"/>
  <c r="M125" i="2"/>
  <c r="M123" i="2"/>
  <c r="M121" i="2"/>
  <c r="M117" i="2"/>
  <c r="M115" i="2"/>
  <c r="M113" i="2"/>
  <c r="M111" i="2"/>
  <c r="M107" i="2"/>
  <c r="M106" i="2" s="1"/>
  <c r="M105" i="2" s="1"/>
  <c r="M102" i="2"/>
  <c r="M101" i="2" s="1"/>
  <c r="M98" i="2"/>
  <c r="M97" i="2" s="1"/>
  <c r="M94" i="2"/>
  <c r="M93" i="2" s="1"/>
  <c r="M91" i="2"/>
  <c r="M88" i="2"/>
  <c r="M84" i="2"/>
  <c r="M83" i="2" s="1"/>
  <c r="M82" i="2" s="1"/>
  <c r="M79" i="2"/>
  <c r="M78" i="2" s="1"/>
  <c r="M77" i="2" s="1"/>
  <c r="M75" i="2"/>
  <c r="M74" i="2" s="1"/>
  <c r="M72" i="2"/>
  <c r="M71" i="2" s="1"/>
  <c r="M66" i="2"/>
  <c r="M65" i="2" s="1"/>
  <c r="M64" i="2" s="1"/>
  <c r="M60" i="2"/>
  <c r="M59" i="2" s="1"/>
  <c r="M54" i="2"/>
  <c r="M52" i="2"/>
  <c r="M47" i="2"/>
  <c r="M43" i="2"/>
  <c r="M41" i="2"/>
  <c r="M39" i="2"/>
  <c r="M33" i="2"/>
  <c r="M32" i="2" s="1"/>
  <c r="M31" i="2" s="1"/>
  <c r="M29" i="2"/>
  <c r="M25" i="2"/>
  <c r="M24" i="2" s="1"/>
  <c r="M22" i="2"/>
  <c r="M20" i="2"/>
  <c r="G313" i="2"/>
  <c r="G312" i="2" s="1"/>
  <c r="G310" i="2"/>
  <c r="G306" i="2" s="1"/>
  <c r="G302" i="2"/>
  <c r="G301" i="2" s="1"/>
  <c r="G298" i="2"/>
  <c r="G296" i="2"/>
  <c r="G292" i="2"/>
  <c r="G291" i="2" s="1"/>
  <c r="G290" i="2" s="1"/>
  <c r="G287" i="2"/>
  <c r="G286" i="2" s="1"/>
  <c r="G285" i="2" s="1"/>
  <c r="G283" i="2"/>
  <c r="G282" i="2" s="1"/>
  <c r="G281" i="2" s="1"/>
  <c r="G278" i="2"/>
  <c r="G277" i="2" s="1"/>
  <c r="G275" i="2"/>
  <c r="G274" i="2" s="1"/>
  <c r="G271" i="2"/>
  <c r="G270" i="2" s="1"/>
  <c r="G267" i="2"/>
  <c r="G265" i="2"/>
  <c r="G257" i="2"/>
  <c r="G256" i="2" s="1"/>
  <c r="G252" i="2"/>
  <c r="G251" i="2" s="1"/>
  <c r="G246" i="2"/>
  <c r="G245" i="2"/>
  <c r="G243" i="2"/>
  <c r="G242" i="2"/>
  <c r="G240" i="2" s="1"/>
  <c r="G234" i="2"/>
  <c r="G233" i="2" s="1"/>
  <c r="G232" i="2" s="1"/>
  <c r="G230" i="2"/>
  <c r="G229" i="2" s="1"/>
  <c r="G228" i="2" s="1"/>
  <c r="G225" i="2"/>
  <c r="G223" i="2"/>
  <c r="G218" i="2"/>
  <c r="G217" i="2" s="1"/>
  <c r="G215" i="2"/>
  <c r="G214" i="2" s="1"/>
  <c r="G211" i="2"/>
  <c r="G210" i="2" s="1"/>
  <c r="G209" i="2" s="1"/>
  <c r="G207" i="2"/>
  <c r="G205" i="2"/>
  <c r="G201" i="2"/>
  <c r="G200" i="2" s="1"/>
  <c r="G199" i="2" s="1"/>
  <c r="G197" i="2"/>
  <c r="G196" i="2" s="1"/>
  <c r="G194" i="2"/>
  <c r="G193" i="2" s="1"/>
  <c r="G191" i="2"/>
  <c r="G189" i="2"/>
  <c r="G185" i="2"/>
  <c r="G180" i="2"/>
  <c r="G179" i="2" s="1"/>
  <c r="G178" i="2" s="1"/>
  <c r="G176" i="2"/>
  <c r="G175" i="2" s="1"/>
  <c r="G174" i="2" s="1"/>
  <c r="G171" i="2"/>
  <c r="G170" i="2" s="1"/>
  <c r="G169" i="2" s="1"/>
  <c r="G167" i="2"/>
  <c r="G166" i="2" s="1"/>
  <c r="G165" i="2" s="1"/>
  <c r="G162" i="2"/>
  <c r="G161" i="2" s="1"/>
  <c r="G160" i="2" s="1"/>
  <c r="G157" i="2"/>
  <c r="G156" i="2" s="1"/>
  <c r="G155" i="2" s="1"/>
  <c r="G144" i="2"/>
  <c r="G143" i="2" s="1"/>
  <c r="G141" i="2"/>
  <c r="G140" i="2" s="1"/>
  <c r="G137" i="2"/>
  <c r="G135" i="2"/>
  <c r="G131" i="2"/>
  <c r="G129" i="2"/>
  <c r="G127" i="2"/>
  <c r="G125" i="2"/>
  <c r="G123" i="2"/>
  <c r="G121" i="2"/>
  <c r="G117" i="2"/>
  <c r="G115" i="2"/>
  <c r="G113" i="2"/>
  <c r="G111" i="2"/>
  <c r="G107" i="2"/>
  <c r="G106" i="2" s="1"/>
  <c r="G105" i="2" s="1"/>
  <c r="G102" i="2"/>
  <c r="G101" i="2" s="1"/>
  <c r="G98" i="2"/>
  <c r="G97" i="2" s="1"/>
  <c r="G94" i="2"/>
  <c r="G93" i="2" s="1"/>
  <c r="G91" i="2"/>
  <c r="G88" i="2"/>
  <c r="G84" i="2"/>
  <c r="G83" i="2" s="1"/>
  <c r="G82" i="2" s="1"/>
  <c r="G79" i="2"/>
  <c r="G78" i="2" s="1"/>
  <c r="G77" i="2" s="1"/>
  <c r="G75" i="2"/>
  <c r="G74" i="2" s="1"/>
  <c r="G72" i="2"/>
  <c r="G71" i="2" s="1"/>
  <c r="G66" i="2"/>
  <c r="G65" i="2" s="1"/>
  <c r="G64" i="2" s="1"/>
  <c r="G60" i="2"/>
  <c r="G59" i="2" s="1"/>
  <c r="G54" i="2"/>
  <c r="G52" i="2"/>
  <c r="G47" i="2"/>
  <c r="G43" i="2"/>
  <c r="G41" i="2"/>
  <c r="G39" i="2"/>
  <c r="G33" i="2"/>
  <c r="G32" i="2" s="1"/>
  <c r="G31" i="2" s="1"/>
  <c r="G29" i="2"/>
  <c r="G25" i="2"/>
  <c r="G22" i="2"/>
  <c r="G20" i="2"/>
  <c r="M19" i="2" l="1"/>
  <c r="M18" i="2" s="1"/>
  <c r="M46" i="2"/>
  <c r="M110" i="2"/>
  <c r="M109" i="2" s="1"/>
  <c r="G24" i="2"/>
  <c r="M295" i="2"/>
  <c r="M294" i="2" s="1"/>
  <c r="M289" i="2" s="1"/>
  <c r="M173" i="2"/>
  <c r="G139" i="2"/>
  <c r="M184" i="2"/>
  <c r="M213" i="2"/>
  <c r="M120" i="2"/>
  <c r="M119" i="2" s="1"/>
  <c r="G87" i="2"/>
  <c r="G134" i="2"/>
  <c r="G133" i="2" s="1"/>
  <c r="M38" i="2"/>
  <c r="M37" i="2" s="1"/>
  <c r="M87" i="2"/>
  <c r="M134" i="2"/>
  <c r="M133" i="2" s="1"/>
  <c r="M204" i="2"/>
  <c r="M203" i="2" s="1"/>
  <c r="M239" i="2"/>
  <c r="M238" i="2" s="1"/>
  <c r="M237" i="2" s="1"/>
  <c r="M250" i="2"/>
  <c r="M45" i="2"/>
  <c r="M222" i="2"/>
  <c r="M221" i="2" s="1"/>
  <c r="M220" i="2" s="1"/>
  <c r="M264" i="2"/>
  <c r="M263" i="2" s="1"/>
  <c r="G19" i="2"/>
  <c r="G184" i="2"/>
  <c r="M183" i="2"/>
  <c r="M182" i="2" s="1"/>
  <c r="G295" i="2"/>
  <c r="G294" i="2" s="1"/>
  <c r="M96" i="2"/>
  <c r="M139" i="2"/>
  <c r="M70" i="2"/>
  <c r="M69" i="2" s="1"/>
  <c r="M86" i="2"/>
  <c r="M150" i="2"/>
  <c r="M269" i="2"/>
  <c r="G38" i="2"/>
  <c r="G37" i="2" s="1"/>
  <c r="G120" i="2"/>
  <c r="G119" i="2" s="1"/>
  <c r="G300" i="2"/>
  <c r="G289" i="2" s="1"/>
  <c r="G269" i="2"/>
  <c r="G264" i="2"/>
  <c r="G263" i="2" s="1"/>
  <c r="G222" i="2"/>
  <c r="G221" i="2" s="1"/>
  <c r="G220" i="2" s="1"/>
  <c r="G213" i="2"/>
  <c r="G204" i="2"/>
  <c r="G203" i="2" s="1"/>
  <c r="G150" i="2"/>
  <c r="G110" i="2"/>
  <c r="G109" i="2" s="1"/>
  <c r="G86" i="2"/>
  <c r="G70" i="2"/>
  <c r="G69" i="2" s="1"/>
  <c r="G46" i="2"/>
  <c r="G45" i="2" s="1"/>
  <c r="G36" i="2" s="1"/>
  <c r="G18" i="2"/>
  <c r="G183" i="2"/>
  <c r="G173" i="2"/>
  <c r="G96" i="2"/>
  <c r="G239" i="2"/>
  <c r="G238" i="2" s="1"/>
  <c r="G237" i="2" s="1"/>
  <c r="G250" i="2"/>
  <c r="M81" i="2" l="1"/>
  <c r="M249" i="2"/>
  <c r="M104" i="2"/>
  <c r="M36" i="2"/>
  <c r="M17" i="2" s="1"/>
  <c r="M16" i="2" s="1"/>
  <c r="G182" i="2"/>
  <c r="G104" i="2"/>
  <c r="G249" i="2"/>
  <c r="G81" i="2"/>
  <c r="G17" i="2" l="1"/>
  <c r="G16" i="2" s="1"/>
  <c r="N313" i="2"/>
  <c r="N312" i="2" s="1"/>
  <c r="N310" i="2"/>
  <c r="N306" i="2" s="1"/>
  <c r="N302" i="2"/>
  <c r="N301" i="2" s="1"/>
  <c r="N299" i="2"/>
  <c r="N298" i="2" s="1"/>
  <c r="N297" i="2"/>
  <c r="N296" i="2" s="1"/>
  <c r="N292" i="2"/>
  <c r="N291" i="2" s="1"/>
  <c r="N290" i="2" s="1"/>
  <c r="N287" i="2"/>
  <c r="N286" i="2" s="1"/>
  <c r="N285" i="2" s="1"/>
  <c r="N283" i="2"/>
  <c r="N282" i="2" s="1"/>
  <c r="N281" i="2" s="1"/>
  <c r="N278" i="2"/>
  <c r="N277" i="2" s="1"/>
  <c r="N275" i="2"/>
  <c r="N274" i="2" s="1"/>
  <c r="N271" i="2"/>
  <c r="N270" i="2" s="1"/>
  <c r="N267" i="2"/>
  <c r="N266" i="2"/>
  <c r="N265" i="2" s="1"/>
  <c r="N262" i="2"/>
  <c r="N261" i="2"/>
  <c r="N257" i="2"/>
  <c r="N252" i="2"/>
  <c r="N251" i="2"/>
  <c r="N246" i="2"/>
  <c r="N245" i="2"/>
  <c r="N242" i="2"/>
  <c r="N240" i="2" s="1"/>
  <c r="N234" i="2"/>
  <c r="N233" i="2" s="1"/>
  <c r="N232" i="2" s="1"/>
  <c r="N230" i="2"/>
  <c r="N229" i="2" s="1"/>
  <c r="N228" i="2" s="1"/>
  <c r="N225" i="2"/>
  <c r="N223" i="2"/>
  <c r="N218" i="2"/>
  <c r="N217" i="2" s="1"/>
  <c r="N215" i="2"/>
  <c r="N214" i="2" s="1"/>
  <c r="N211" i="2"/>
  <c r="N210" i="2" s="1"/>
  <c r="N209" i="2" s="1"/>
  <c r="N207" i="2"/>
  <c r="N206" i="2"/>
  <c r="N205" i="2" s="1"/>
  <c r="N201" i="2"/>
  <c r="N200" i="2" s="1"/>
  <c r="N199" i="2" s="1"/>
  <c r="N198" i="2"/>
  <c r="N197" i="2" s="1"/>
  <c r="N196" i="2" s="1"/>
  <c r="N195" i="2"/>
  <c r="N194" i="2" s="1"/>
  <c r="N193" i="2" s="1"/>
  <c r="N191" i="2"/>
  <c r="N190" i="2"/>
  <c r="N189" i="2" s="1"/>
  <c r="N185" i="2"/>
  <c r="N180" i="2"/>
  <c r="N179" i="2" s="1"/>
  <c r="N178" i="2" s="1"/>
  <c r="N176" i="2"/>
  <c r="N175" i="2" s="1"/>
  <c r="N174" i="2" s="1"/>
  <c r="N171" i="2"/>
  <c r="N170" i="2" s="1"/>
  <c r="N169" i="2" s="1"/>
  <c r="N167" i="2"/>
  <c r="N166" i="2" s="1"/>
  <c r="N165" i="2" s="1"/>
  <c r="N162" i="2"/>
  <c r="N161" i="2" s="1"/>
  <c r="N160" i="2" s="1"/>
  <c r="N157" i="2"/>
  <c r="N156" i="2" s="1"/>
  <c r="N155" i="2" s="1"/>
  <c r="N144" i="2"/>
  <c r="N143" i="2" s="1"/>
  <c r="N141" i="2"/>
  <c r="N140" i="2" s="1"/>
  <c r="N138" i="2"/>
  <c r="N137" i="2" s="1"/>
  <c r="N135" i="2"/>
  <c r="N132" i="2"/>
  <c r="N131" i="2" s="1"/>
  <c r="N129" i="2"/>
  <c r="N127" i="2"/>
  <c r="N125" i="2"/>
  <c r="N123" i="2"/>
  <c r="N121" i="2"/>
  <c r="N115" i="2"/>
  <c r="N113" i="2"/>
  <c r="N111" i="2"/>
  <c r="N107" i="2"/>
  <c r="N106" i="2" s="1"/>
  <c r="N105" i="2" s="1"/>
  <c r="N102" i="2"/>
  <c r="N101" i="2" s="1"/>
  <c r="N98" i="2"/>
  <c r="N97" i="2" s="1"/>
  <c r="N95" i="2"/>
  <c r="N94" i="2" s="1"/>
  <c r="N93" i="2" s="1"/>
  <c r="N91" i="2"/>
  <c r="N88" i="2"/>
  <c r="N84" i="2"/>
  <c r="N83" i="2" s="1"/>
  <c r="N82" i="2" s="1"/>
  <c r="N79" i="2"/>
  <c r="N78" i="2" s="1"/>
  <c r="N77" i="2" s="1"/>
  <c r="N75" i="2"/>
  <c r="N74" i="2" s="1"/>
  <c r="N72" i="2"/>
  <c r="N71" i="2" s="1"/>
  <c r="N66" i="2"/>
  <c r="N65" i="2" s="1"/>
  <c r="N64" i="2" s="1"/>
  <c r="N60" i="2"/>
  <c r="N59" i="2" s="1"/>
  <c r="N54" i="2"/>
  <c r="N52" i="2"/>
  <c r="N50" i="2"/>
  <c r="N48" i="2"/>
  <c r="N43" i="2"/>
  <c r="N41" i="2"/>
  <c r="N39" i="2"/>
  <c r="N33" i="2"/>
  <c r="N32" i="2" s="1"/>
  <c r="N31" i="2" s="1"/>
  <c r="N29" i="2"/>
  <c r="N25" i="2"/>
  <c r="N22" i="2"/>
  <c r="N20" i="2"/>
  <c r="L313" i="2"/>
  <c r="L312" i="2" s="1"/>
  <c r="L310" i="2"/>
  <c r="L306" i="2" s="1"/>
  <c r="L302" i="2"/>
  <c r="L301" i="2" s="1"/>
  <c r="L299" i="2"/>
  <c r="L298" i="2" s="1"/>
  <c r="L297" i="2"/>
  <c r="L296" i="2" s="1"/>
  <c r="L295" i="2" s="1"/>
  <c r="L294" i="2" s="1"/>
  <c r="L292" i="2"/>
  <c r="L291" i="2" s="1"/>
  <c r="L290" i="2" s="1"/>
  <c r="L287" i="2"/>
  <c r="L286" i="2" s="1"/>
  <c r="L285" i="2" s="1"/>
  <c r="L283" i="2"/>
  <c r="L282" i="2" s="1"/>
  <c r="L281" i="2" s="1"/>
  <c r="L278" i="2"/>
  <c r="L277" i="2" s="1"/>
  <c r="L275" i="2"/>
  <c r="L274" i="2" s="1"/>
  <c r="L271" i="2"/>
  <c r="L270" i="2" s="1"/>
  <c r="L267" i="2"/>
  <c r="L266" i="2"/>
  <c r="L265" i="2" s="1"/>
  <c r="L264" i="2" s="1"/>
  <c r="L263" i="2" s="1"/>
  <c r="L262" i="2"/>
  <c r="L261" i="2"/>
  <c r="L257" i="2"/>
  <c r="L252" i="2"/>
  <c r="L251" i="2" s="1"/>
  <c r="L246" i="2"/>
  <c r="L245" i="2"/>
  <c r="L242" i="2"/>
  <c r="L240" i="2" s="1"/>
  <c r="L234" i="2"/>
  <c r="L233" i="2" s="1"/>
  <c r="L232" i="2" s="1"/>
  <c r="L230" i="2"/>
  <c r="L229" i="2" s="1"/>
  <c r="L228" i="2" s="1"/>
  <c r="L225" i="2"/>
  <c r="L223" i="2"/>
  <c r="L218" i="2"/>
  <c r="L217" i="2" s="1"/>
  <c r="L215" i="2"/>
  <c r="L214" i="2" s="1"/>
  <c r="L211" i="2"/>
  <c r="L210" i="2" s="1"/>
  <c r="L209" i="2" s="1"/>
  <c r="L207" i="2"/>
  <c r="L206" i="2"/>
  <c r="L205" i="2" s="1"/>
  <c r="L204" i="2" s="1"/>
  <c r="L203" i="2" s="1"/>
  <c r="L201" i="2"/>
  <c r="L200" i="2" s="1"/>
  <c r="L199" i="2" s="1"/>
  <c r="L198" i="2"/>
  <c r="L197" i="2" s="1"/>
  <c r="L196" i="2" s="1"/>
  <c r="L195" i="2"/>
  <c r="L194" i="2" s="1"/>
  <c r="L193" i="2" s="1"/>
  <c r="L191" i="2"/>
  <c r="L190" i="2"/>
  <c r="L189" i="2" s="1"/>
  <c r="L185" i="2"/>
  <c r="L180" i="2"/>
  <c r="L179" i="2" s="1"/>
  <c r="L178" i="2" s="1"/>
  <c r="L176" i="2"/>
  <c r="L175" i="2" s="1"/>
  <c r="L174" i="2" s="1"/>
  <c r="L171" i="2"/>
  <c r="L170" i="2" s="1"/>
  <c r="L169" i="2" s="1"/>
  <c r="L167" i="2"/>
  <c r="L166" i="2" s="1"/>
  <c r="L165" i="2" s="1"/>
  <c r="L162" i="2"/>
  <c r="L161" i="2" s="1"/>
  <c r="L160" i="2" s="1"/>
  <c r="L157" i="2"/>
  <c r="L156" i="2" s="1"/>
  <c r="L155" i="2" s="1"/>
  <c r="L144" i="2"/>
  <c r="L143" i="2" s="1"/>
  <c r="L141" i="2"/>
  <c r="L140" i="2" s="1"/>
  <c r="L138" i="2"/>
  <c r="L137" i="2"/>
  <c r="L135" i="2"/>
  <c r="L132" i="2"/>
  <c r="L131" i="2" s="1"/>
  <c r="L129" i="2"/>
  <c r="L127" i="2"/>
  <c r="L125" i="2"/>
  <c r="L123" i="2"/>
  <c r="L121" i="2"/>
  <c r="L115" i="2"/>
  <c r="L113" i="2"/>
  <c r="L111" i="2"/>
  <c r="L107" i="2"/>
  <c r="L106" i="2" s="1"/>
  <c r="L105" i="2" s="1"/>
  <c r="L102" i="2"/>
  <c r="L101" i="2" s="1"/>
  <c r="L98" i="2"/>
  <c r="L97" i="2" s="1"/>
  <c r="L95" i="2"/>
  <c r="L94" i="2" s="1"/>
  <c r="L93" i="2" s="1"/>
  <c r="L91" i="2"/>
  <c r="L89" i="2"/>
  <c r="L88" i="2" s="1"/>
  <c r="L87" i="2" s="1"/>
  <c r="L84" i="2"/>
  <c r="L83" i="2" s="1"/>
  <c r="L82" i="2" s="1"/>
  <c r="L79" i="2"/>
  <c r="L78" i="2" s="1"/>
  <c r="L77" i="2" s="1"/>
  <c r="L75" i="2"/>
  <c r="L74" i="2"/>
  <c r="L72" i="2"/>
  <c r="L71" i="2" s="1"/>
  <c r="L66" i="2"/>
  <c r="L65" i="2" s="1"/>
  <c r="L64" i="2" s="1"/>
  <c r="L60" i="2"/>
  <c r="L59" i="2" s="1"/>
  <c r="L54" i="2"/>
  <c r="L52" i="2"/>
  <c r="L50" i="2"/>
  <c r="L48" i="2"/>
  <c r="L43" i="2"/>
  <c r="L41" i="2"/>
  <c r="L39" i="2"/>
  <c r="L33" i="2"/>
  <c r="L32" i="2"/>
  <c r="L31" i="2" s="1"/>
  <c r="L29" i="2"/>
  <c r="L25" i="2"/>
  <c r="L24" i="2" s="1"/>
  <c r="L22" i="2"/>
  <c r="L20" i="2"/>
  <c r="J312" i="2"/>
  <c r="J301" i="2"/>
  <c r="J295" i="2"/>
  <c r="J294" i="2" s="1"/>
  <c r="J291" i="2"/>
  <c r="J290" i="2" s="1"/>
  <c r="J285" i="2"/>
  <c r="J281" i="2"/>
  <c r="J269" i="2"/>
  <c r="J263" i="2"/>
  <c r="J250" i="2"/>
  <c r="J245" i="2"/>
  <c r="J238" i="2"/>
  <c r="J232" i="2"/>
  <c r="J228" i="2"/>
  <c r="J221" i="2"/>
  <c r="J213" i="2"/>
  <c r="J209" i="2"/>
  <c r="J183" i="2"/>
  <c r="J178" i="2"/>
  <c r="J174" i="2"/>
  <c r="J169" i="2"/>
  <c r="J165" i="2"/>
  <c r="J160" i="2"/>
  <c r="J139" i="2"/>
  <c r="J133" i="2"/>
  <c r="J119" i="2"/>
  <c r="J109" i="2"/>
  <c r="J96" i="2"/>
  <c r="J86" i="2"/>
  <c r="J82" i="2"/>
  <c r="J77" i="2"/>
  <c r="J70" i="2"/>
  <c r="J64" i="2"/>
  <c r="J45" i="2"/>
  <c r="J31" i="2"/>
  <c r="J18" i="2"/>
  <c r="K313" i="2"/>
  <c r="K312" i="2" s="1"/>
  <c r="K310" i="2"/>
  <c r="K307" i="2"/>
  <c r="K306" i="2" s="1"/>
  <c r="K302" i="2"/>
  <c r="K301" i="2" s="1"/>
  <c r="K298" i="2"/>
  <c r="K296" i="2"/>
  <c r="K292" i="2"/>
  <c r="K291" i="2" s="1"/>
  <c r="K290" i="2" s="1"/>
  <c r="K287" i="2"/>
  <c r="K286" i="2" s="1"/>
  <c r="K285" i="2" s="1"/>
  <c r="K283" i="2"/>
  <c r="K282" i="2" s="1"/>
  <c r="K281" i="2" s="1"/>
  <c r="K278" i="2"/>
  <c r="K277" i="2" s="1"/>
  <c r="K275" i="2"/>
  <c r="K274" i="2" s="1"/>
  <c r="K271" i="2"/>
  <c r="K270" i="2" s="1"/>
  <c r="K267" i="2"/>
  <c r="K265" i="2"/>
  <c r="K260" i="2"/>
  <c r="K257" i="2"/>
  <c r="K252" i="2"/>
  <c r="K251" i="2" s="1"/>
  <c r="K244" i="2"/>
  <c r="K240" i="2"/>
  <c r="K234" i="2"/>
  <c r="K233" i="2" s="1"/>
  <c r="K232" i="2" s="1"/>
  <c r="K230" i="2"/>
  <c r="K229" i="2" s="1"/>
  <c r="K228" i="2" s="1"/>
  <c r="K225" i="2"/>
  <c r="K223" i="2"/>
  <c r="K218" i="2"/>
  <c r="K217" i="2" s="1"/>
  <c r="K215" i="2"/>
  <c r="K214" i="2" s="1"/>
  <c r="K211" i="2"/>
  <c r="K210" i="2" s="1"/>
  <c r="K209" i="2" s="1"/>
  <c r="K207" i="2"/>
  <c r="K205" i="2"/>
  <c r="K201" i="2"/>
  <c r="K200" i="2" s="1"/>
  <c r="K199" i="2" s="1"/>
  <c r="K197" i="2"/>
  <c r="K196" i="2" s="1"/>
  <c r="K194" i="2"/>
  <c r="K193" i="2" s="1"/>
  <c r="K191" i="2"/>
  <c r="K189" i="2"/>
  <c r="K185" i="2"/>
  <c r="K180" i="2"/>
  <c r="K179" i="2" s="1"/>
  <c r="K178" i="2" s="1"/>
  <c r="K176" i="2"/>
  <c r="K175" i="2" s="1"/>
  <c r="K174" i="2" s="1"/>
  <c r="K171" i="2"/>
  <c r="K170" i="2" s="1"/>
  <c r="K169" i="2" s="1"/>
  <c r="K167" i="2"/>
  <c r="K166" i="2" s="1"/>
  <c r="K165" i="2" s="1"/>
  <c r="K162" i="2"/>
  <c r="K161" i="2" s="1"/>
  <c r="K160" i="2" s="1"/>
  <c r="K157" i="2"/>
  <c r="K156" i="2" s="1"/>
  <c r="K155" i="2" s="1"/>
  <c r="K144" i="2"/>
  <c r="K143" i="2" s="1"/>
  <c r="K141" i="2"/>
  <c r="K140" i="2" s="1"/>
  <c r="K137" i="2"/>
  <c r="K135" i="2"/>
  <c r="K131" i="2"/>
  <c r="K129" i="2"/>
  <c r="K127" i="2"/>
  <c r="K125" i="2"/>
  <c r="K123" i="2"/>
  <c r="K121" i="2"/>
  <c r="K118" i="2"/>
  <c r="N118" i="2" s="1"/>
  <c r="N117" i="2" s="1"/>
  <c r="K116" i="2"/>
  <c r="K115" i="2" s="1"/>
  <c r="K113" i="2"/>
  <c r="K111" i="2"/>
  <c r="K107" i="2"/>
  <c r="K106" i="2" s="1"/>
  <c r="K105" i="2" s="1"/>
  <c r="K102" i="2"/>
  <c r="K101" i="2" s="1"/>
  <c r="K98" i="2"/>
  <c r="K97" i="2" s="1"/>
  <c r="K94" i="2"/>
  <c r="K93" i="2" s="1"/>
  <c r="K91" i="2"/>
  <c r="K88" i="2"/>
  <c r="K84" i="2"/>
  <c r="K83" i="2" s="1"/>
  <c r="K82" i="2" s="1"/>
  <c r="K79" i="2"/>
  <c r="K78" i="2" s="1"/>
  <c r="K77" i="2" s="1"/>
  <c r="K75" i="2"/>
  <c r="K74" i="2" s="1"/>
  <c r="K72" i="2"/>
  <c r="K71" i="2" s="1"/>
  <c r="K66" i="2"/>
  <c r="K65" i="2" s="1"/>
  <c r="K64" i="2" s="1"/>
  <c r="K60" i="2"/>
  <c r="K59" i="2" s="1"/>
  <c r="K54" i="2"/>
  <c r="K52" i="2"/>
  <c r="K47" i="2"/>
  <c r="K43" i="2"/>
  <c r="K41" i="2"/>
  <c r="K39" i="2"/>
  <c r="K33" i="2"/>
  <c r="K32" i="2"/>
  <c r="K31" i="2" s="1"/>
  <c r="K29" i="2"/>
  <c r="K25" i="2"/>
  <c r="K22" i="2"/>
  <c r="K20" i="2"/>
  <c r="K19" i="2" s="1"/>
  <c r="H313" i="2"/>
  <c r="H312" i="2" s="1"/>
  <c r="H310" i="2"/>
  <c r="H306" i="2" s="1"/>
  <c r="H302" i="2"/>
  <c r="H301" i="2" s="1"/>
  <c r="H299" i="2"/>
  <c r="H298" i="2" s="1"/>
  <c r="H297" i="2"/>
  <c r="H296" i="2" s="1"/>
  <c r="H292" i="2"/>
  <c r="H291" i="2" s="1"/>
  <c r="H290" i="2" s="1"/>
  <c r="H287" i="2"/>
  <c r="H286" i="2" s="1"/>
  <c r="H285" i="2" s="1"/>
  <c r="H283" i="2"/>
  <c r="H282" i="2" s="1"/>
  <c r="H281" i="2" s="1"/>
  <c r="H278" i="2"/>
  <c r="H277" i="2" s="1"/>
  <c r="H275" i="2"/>
  <c r="H274" i="2" s="1"/>
  <c r="H271" i="2"/>
  <c r="H270" i="2"/>
  <c r="H267" i="2"/>
  <c r="H266" i="2"/>
  <c r="H265" i="2" s="1"/>
  <c r="H264" i="2" s="1"/>
  <c r="H263" i="2" s="1"/>
  <c r="H262" i="2"/>
  <c r="H261" i="2"/>
  <c r="H257" i="2"/>
  <c r="H252" i="2"/>
  <c r="H251" i="2" s="1"/>
  <c r="H246" i="2"/>
  <c r="H245" i="2"/>
  <c r="H244" i="2"/>
  <c r="H243" i="2" s="1"/>
  <c r="H242" i="2"/>
  <c r="H240" i="2" s="1"/>
  <c r="H234" i="2"/>
  <c r="H233" i="2" s="1"/>
  <c r="H232" i="2" s="1"/>
  <c r="H230" i="2"/>
  <c r="H229" i="2" s="1"/>
  <c r="H228" i="2" s="1"/>
  <c r="H225" i="2"/>
  <c r="H223" i="2"/>
  <c r="H222" i="2" s="1"/>
  <c r="H221" i="2" s="1"/>
  <c r="H218" i="2"/>
  <c r="H217" i="2" s="1"/>
  <c r="H215" i="2"/>
  <c r="H214" i="2" s="1"/>
  <c r="H213" i="2" s="1"/>
  <c r="H211" i="2"/>
  <c r="H210" i="2" s="1"/>
  <c r="H209" i="2" s="1"/>
  <c r="H207" i="2"/>
  <c r="H206" i="2"/>
  <c r="H205" i="2" s="1"/>
  <c r="H201" i="2"/>
  <c r="H200" i="2" s="1"/>
  <c r="H199" i="2" s="1"/>
  <c r="H198" i="2"/>
  <c r="H197" i="2" s="1"/>
  <c r="H196" i="2" s="1"/>
  <c r="H195" i="2"/>
  <c r="H194" i="2" s="1"/>
  <c r="H193" i="2" s="1"/>
  <c r="H191" i="2"/>
  <c r="H190" i="2"/>
  <c r="H189" i="2" s="1"/>
  <c r="H185" i="2"/>
  <c r="H180" i="2"/>
  <c r="H179" i="2" s="1"/>
  <c r="H178" i="2" s="1"/>
  <c r="H176" i="2"/>
  <c r="H175" i="2" s="1"/>
  <c r="H174" i="2" s="1"/>
  <c r="H171" i="2"/>
  <c r="H170" i="2" s="1"/>
  <c r="H169" i="2" s="1"/>
  <c r="H167" i="2"/>
  <c r="H166" i="2" s="1"/>
  <c r="H165" i="2" s="1"/>
  <c r="H162" i="2"/>
  <c r="H161" i="2" s="1"/>
  <c r="H160" i="2" s="1"/>
  <c r="H157" i="2"/>
  <c r="H156" i="2" s="1"/>
  <c r="H155" i="2" s="1"/>
  <c r="H144" i="2"/>
  <c r="H143" i="2" s="1"/>
  <c r="H141" i="2"/>
  <c r="H140" i="2" s="1"/>
  <c r="H138" i="2"/>
  <c r="H137" i="2" s="1"/>
  <c r="H135" i="2"/>
  <c r="H132" i="2"/>
  <c r="H131" i="2" s="1"/>
  <c r="H129" i="2"/>
  <c r="H127" i="2"/>
  <c r="H125" i="2"/>
  <c r="H123" i="2"/>
  <c r="H121" i="2"/>
  <c r="H117" i="2"/>
  <c r="H115" i="2"/>
  <c r="H113" i="2"/>
  <c r="H111" i="2"/>
  <c r="H107" i="2"/>
  <c r="H106" i="2" s="1"/>
  <c r="H105" i="2" s="1"/>
  <c r="H102" i="2"/>
  <c r="H101" i="2" s="1"/>
  <c r="H98" i="2"/>
  <c r="H97" i="2" s="1"/>
  <c r="H95" i="2"/>
  <c r="H94" i="2" s="1"/>
  <c r="H93" i="2" s="1"/>
  <c r="H91" i="2"/>
  <c r="H89" i="2"/>
  <c r="H88" i="2" s="1"/>
  <c r="H84" i="2"/>
  <c r="H83" i="2" s="1"/>
  <c r="H82" i="2" s="1"/>
  <c r="H79" i="2"/>
  <c r="H78" i="2" s="1"/>
  <c r="H77" i="2" s="1"/>
  <c r="H75" i="2"/>
  <c r="H74" i="2" s="1"/>
  <c r="H72" i="2"/>
  <c r="H71" i="2" s="1"/>
  <c r="H66" i="2"/>
  <c r="H65" i="2" s="1"/>
  <c r="H64" i="2" s="1"/>
  <c r="H60" i="2"/>
  <c r="H59" i="2"/>
  <c r="H54" i="2"/>
  <c r="H52" i="2"/>
  <c r="H50" i="2"/>
  <c r="H48" i="2"/>
  <c r="H47" i="2" s="1"/>
  <c r="H43" i="2"/>
  <c r="H41" i="2"/>
  <c r="H39" i="2"/>
  <c r="H33" i="2"/>
  <c r="H32" i="2" s="1"/>
  <c r="H31" i="2" s="1"/>
  <c r="H29" i="2"/>
  <c r="H25" i="2"/>
  <c r="H24" i="2" s="1"/>
  <c r="H22" i="2"/>
  <c r="H20" i="2"/>
  <c r="H19" i="2" s="1"/>
  <c r="L134" i="2" l="1"/>
  <c r="L133" i="2" s="1"/>
  <c r="L222" i="2"/>
  <c r="L221" i="2" s="1"/>
  <c r="H110" i="2"/>
  <c r="H109" i="2" s="1"/>
  <c r="K222" i="2"/>
  <c r="K221" i="2" s="1"/>
  <c r="K204" i="2"/>
  <c r="K203" i="2" s="1"/>
  <c r="N139" i="2"/>
  <c r="N222" i="2"/>
  <c r="N221" i="2" s="1"/>
  <c r="N264" i="2"/>
  <c r="N263" i="2" s="1"/>
  <c r="K300" i="2"/>
  <c r="H18" i="2"/>
  <c r="J69" i="2"/>
  <c r="J173" i="2"/>
  <c r="N220" i="2"/>
  <c r="H87" i="2"/>
  <c r="H139" i="2"/>
  <c r="K117" i="2"/>
  <c r="K110" i="2" s="1"/>
  <c r="K109" i="2" s="1"/>
  <c r="K134" i="2"/>
  <c r="K133" i="2" s="1"/>
  <c r="J104" i="2"/>
  <c r="J220" i="2"/>
  <c r="J249" i="2"/>
  <c r="J300" i="2"/>
  <c r="L38" i="2"/>
  <c r="L37" i="2" s="1"/>
  <c r="N47" i="2"/>
  <c r="N46" i="2" s="1"/>
  <c r="N45" i="2" s="1"/>
  <c r="H46" i="2"/>
  <c r="H45" i="2" s="1"/>
  <c r="L220" i="2"/>
  <c r="L269" i="2"/>
  <c r="N38" i="2"/>
  <c r="N37" i="2" s="1"/>
  <c r="N260" i="2"/>
  <c r="K213" i="2"/>
  <c r="L213" i="2"/>
  <c r="H134" i="2"/>
  <c r="H133" i="2" s="1"/>
  <c r="H184" i="2"/>
  <c r="H183" i="2" s="1"/>
  <c r="H204" i="2"/>
  <c r="H203" i="2" s="1"/>
  <c r="H260" i="2"/>
  <c r="H256" i="2" s="1"/>
  <c r="H250" i="2" s="1"/>
  <c r="H300" i="2"/>
  <c r="K46" i="2"/>
  <c r="K45" i="2" s="1"/>
  <c r="K256" i="2"/>
  <c r="K269" i="2"/>
  <c r="K295" i="2"/>
  <c r="K294" i="2" s="1"/>
  <c r="J150" i="2"/>
  <c r="J237" i="2"/>
  <c r="L19" i="2"/>
  <c r="L18" i="2" s="1"/>
  <c r="L47" i="2"/>
  <c r="L46" i="2" s="1"/>
  <c r="L260" i="2"/>
  <c r="L256" i="2" s="1"/>
  <c r="L250" i="2" s="1"/>
  <c r="L249" i="2" s="1"/>
  <c r="N24" i="2"/>
  <c r="N87" i="2"/>
  <c r="N120" i="2"/>
  <c r="N119" i="2" s="1"/>
  <c r="N134" i="2"/>
  <c r="N133" i="2" s="1"/>
  <c r="N184" i="2"/>
  <c r="N183" i="2" s="1"/>
  <c r="H239" i="2"/>
  <c r="H238" i="2" s="1"/>
  <c r="H237" i="2" s="1"/>
  <c r="K150" i="2"/>
  <c r="K220" i="2"/>
  <c r="L150" i="2"/>
  <c r="N173" i="2"/>
  <c r="N213" i="2"/>
  <c r="N256" i="2"/>
  <c r="N250" i="2" s="1"/>
  <c r="N295" i="2"/>
  <c r="N294" i="2" s="1"/>
  <c r="H120" i="2"/>
  <c r="H119" i="2" s="1"/>
  <c r="H295" i="2"/>
  <c r="H294" i="2" s="1"/>
  <c r="H289" i="2" s="1"/>
  <c r="H38" i="2"/>
  <c r="H37" i="2" s="1"/>
  <c r="K24" i="2"/>
  <c r="K38" i="2"/>
  <c r="K37" i="2" s="1"/>
  <c r="K184" i="2"/>
  <c r="K243" i="2"/>
  <c r="K239" i="2" s="1"/>
  <c r="K238" i="2" s="1"/>
  <c r="K237" i="2" s="1"/>
  <c r="N244" i="2"/>
  <c r="N243" i="2" s="1"/>
  <c r="N239" i="2" s="1"/>
  <c r="K264" i="2"/>
  <c r="K263" i="2" s="1"/>
  <c r="J36" i="2"/>
  <c r="J81" i="2"/>
  <c r="J182" i="2"/>
  <c r="L120" i="2"/>
  <c r="L119" i="2" s="1"/>
  <c r="L184" i="2"/>
  <c r="N19" i="2"/>
  <c r="N18" i="2" s="1"/>
  <c r="N204" i="2"/>
  <c r="N203" i="2" s="1"/>
  <c r="K18" i="2"/>
  <c r="K120" i="2"/>
  <c r="K119" i="2" s="1"/>
  <c r="K173" i="2"/>
  <c r="K250" i="2"/>
  <c r="N150" i="2"/>
  <c r="N269" i="2"/>
  <c r="K87" i="2"/>
  <c r="K86" i="2" s="1"/>
  <c r="K139" i="2"/>
  <c r="H70" i="2"/>
  <c r="H69" i="2" s="1"/>
  <c r="N86" i="2"/>
  <c r="K96" i="2"/>
  <c r="L70" i="2"/>
  <c r="L69" i="2" s="1"/>
  <c r="K70" i="2"/>
  <c r="K69" i="2" s="1"/>
  <c r="L96" i="2"/>
  <c r="L86" i="2"/>
  <c r="N238" i="2"/>
  <c r="N237" i="2" s="1"/>
  <c r="N300" i="2"/>
  <c r="L300" i="2"/>
  <c r="L289" i="2" s="1"/>
  <c r="N110" i="2"/>
  <c r="N109" i="2" s="1"/>
  <c r="N104" i="2" s="1"/>
  <c r="N36" i="2"/>
  <c r="N70" i="2"/>
  <c r="N69" i="2" s="1"/>
  <c r="N96" i="2"/>
  <c r="L183" i="2"/>
  <c r="L182" i="2" s="1"/>
  <c r="L45" i="2"/>
  <c r="L36" i="2" s="1"/>
  <c r="L139" i="2"/>
  <c r="L173" i="2"/>
  <c r="J17" i="2"/>
  <c r="J289" i="2"/>
  <c r="K183" i="2"/>
  <c r="K289" i="2"/>
  <c r="H86" i="2"/>
  <c r="H150" i="2"/>
  <c r="H220" i="2"/>
  <c r="H269" i="2"/>
  <c r="H36" i="2"/>
  <c r="H96" i="2"/>
  <c r="H104" i="2"/>
  <c r="H173" i="2"/>
  <c r="F198" i="2"/>
  <c r="F195" i="2"/>
  <c r="F190" i="2"/>
  <c r="F297" i="2"/>
  <c r="F299" i="2"/>
  <c r="N249" i="2" l="1"/>
  <c r="K104" i="2"/>
  <c r="H182" i="2"/>
  <c r="K36" i="2"/>
  <c r="K182" i="2"/>
  <c r="K249" i="2"/>
  <c r="N182" i="2"/>
  <c r="N81" i="2"/>
  <c r="L81" i="2"/>
  <c r="K81" i="2"/>
  <c r="H81" i="2"/>
  <c r="J16" i="2"/>
  <c r="H249" i="2"/>
  <c r="F132" i="2"/>
  <c r="H17" i="2" l="1"/>
  <c r="H16" i="2" s="1"/>
  <c r="N17" i="2"/>
  <c r="K17" i="2"/>
  <c r="K16" i="2" s="1"/>
  <c r="I116" i="2"/>
  <c r="I118" i="2"/>
  <c r="L118" i="2" s="1"/>
  <c r="L117" i="2" s="1"/>
  <c r="L110" i="2" s="1"/>
  <c r="L109" i="2" s="1"/>
  <c r="L104" i="2" s="1"/>
  <c r="F262" i="2" l="1"/>
  <c r="F261" i="2"/>
  <c r="F244" i="2"/>
  <c r="F242" i="2"/>
  <c r="I157" i="2"/>
  <c r="F157" i="2"/>
  <c r="I88" i="2"/>
  <c r="F89" i="2"/>
  <c r="F88" i="2" s="1"/>
  <c r="I244" i="2" l="1"/>
  <c r="L244" i="2" s="1"/>
  <c r="L243" i="2" s="1"/>
  <c r="L239" i="2" s="1"/>
  <c r="L238" i="2" s="1"/>
  <c r="L237" i="2" s="1"/>
  <c r="L17" i="2" s="1"/>
  <c r="L16" i="2" s="1"/>
  <c r="F245" i="2"/>
  <c r="F246" i="2"/>
  <c r="I307" i="2" l="1"/>
  <c r="F48" i="2" l="1"/>
  <c r="F266" i="2"/>
  <c r="F206" i="2"/>
  <c r="F205" i="2" s="1"/>
  <c r="F138" i="2"/>
  <c r="F137" i="2" s="1"/>
  <c r="F95" i="2"/>
  <c r="F50" i="2"/>
  <c r="N316" i="2"/>
  <c r="N315" i="2" s="1"/>
  <c r="N289" i="2" s="1"/>
  <c r="N16" i="2" s="1"/>
  <c r="I317" i="2"/>
  <c r="I316" i="2" s="1"/>
  <c r="I315" i="2" s="1"/>
  <c r="F316" i="2"/>
  <c r="F315" i="2" s="1"/>
  <c r="I313" i="2"/>
  <c r="I312" i="2" s="1"/>
  <c r="F313" i="2"/>
  <c r="F312" i="2" s="1"/>
  <c r="I310" i="2"/>
  <c r="I306" i="2" s="1"/>
  <c r="F310" i="2"/>
  <c r="F306" i="2" s="1"/>
  <c r="I302" i="2"/>
  <c r="I301" i="2" s="1"/>
  <c r="F302" i="2"/>
  <c r="F301" i="2" s="1"/>
  <c r="I298" i="2"/>
  <c r="F298" i="2"/>
  <c r="I296" i="2"/>
  <c r="F296" i="2"/>
  <c r="I292" i="2"/>
  <c r="I291" i="2" s="1"/>
  <c r="I290" i="2" s="1"/>
  <c r="F292" i="2"/>
  <c r="F291" i="2" s="1"/>
  <c r="F290" i="2" s="1"/>
  <c r="I287" i="2"/>
  <c r="I286" i="2" s="1"/>
  <c r="I285" i="2" s="1"/>
  <c r="F287" i="2"/>
  <c r="F286" i="2" s="1"/>
  <c r="F285" i="2" s="1"/>
  <c r="I283" i="2"/>
  <c r="I282" i="2" s="1"/>
  <c r="I281" i="2" s="1"/>
  <c r="F283" i="2"/>
  <c r="F282" i="2" s="1"/>
  <c r="F281" i="2" s="1"/>
  <c r="I278" i="2"/>
  <c r="I277" i="2" s="1"/>
  <c r="F278" i="2"/>
  <c r="F277" i="2" s="1"/>
  <c r="I275" i="2"/>
  <c r="I274" i="2" s="1"/>
  <c r="F275" i="2"/>
  <c r="F274" i="2" s="1"/>
  <c r="I271" i="2"/>
  <c r="I270" i="2" s="1"/>
  <c r="F271" i="2"/>
  <c r="F270" i="2" s="1"/>
  <c r="I267" i="2"/>
  <c r="F267" i="2"/>
  <c r="I265" i="2"/>
  <c r="F265" i="2"/>
  <c r="I260" i="2"/>
  <c r="F260" i="2"/>
  <c r="I257" i="2"/>
  <c r="F257" i="2"/>
  <c r="I252" i="2"/>
  <c r="I251" i="2" s="1"/>
  <c r="F252" i="2"/>
  <c r="F251" i="2" s="1"/>
  <c r="I243" i="2"/>
  <c r="F243" i="2"/>
  <c r="I240" i="2"/>
  <c r="F240" i="2"/>
  <c r="I234" i="2"/>
  <c r="I233" i="2" s="1"/>
  <c r="I232" i="2" s="1"/>
  <c r="F234" i="2"/>
  <c r="F233" i="2" s="1"/>
  <c r="F232" i="2" s="1"/>
  <c r="I230" i="2"/>
  <c r="I229" i="2" s="1"/>
  <c r="I228" i="2" s="1"/>
  <c r="F230" i="2"/>
  <c r="F229" i="2" s="1"/>
  <c r="F228" i="2" s="1"/>
  <c r="I225" i="2"/>
  <c r="F225" i="2"/>
  <c r="I223" i="2"/>
  <c r="F223" i="2"/>
  <c r="I218" i="2"/>
  <c r="I217" i="2" s="1"/>
  <c r="F218" i="2"/>
  <c r="F217" i="2" s="1"/>
  <c r="I215" i="2"/>
  <c r="I214" i="2" s="1"/>
  <c r="F215" i="2"/>
  <c r="F214" i="2" s="1"/>
  <c r="I211" i="2"/>
  <c r="I210" i="2" s="1"/>
  <c r="I209" i="2" s="1"/>
  <c r="F211" i="2"/>
  <c r="F210" i="2" s="1"/>
  <c r="F209" i="2" s="1"/>
  <c r="I207" i="2"/>
  <c r="F207" i="2"/>
  <c r="I205" i="2"/>
  <c r="I201" i="2"/>
  <c r="I200" i="2" s="1"/>
  <c r="I199" i="2" s="1"/>
  <c r="F201" i="2"/>
  <c r="F200" i="2" s="1"/>
  <c r="F199" i="2" s="1"/>
  <c r="I197" i="2"/>
  <c r="I196" i="2" s="1"/>
  <c r="F197" i="2"/>
  <c r="F196" i="2" s="1"/>
  <c r="I194" i="2"/>
  <c r="I193" i="2" s="1"/>
  <c r="F194" i="2"/>
  <c r="F193" i="2" s="1"/>
  <c r="I191" i="2"/>
  <c r="F191" i="2"/>
  <c r="I189" i="2"/>
  <c r="F189" i="2"/>
  <c r="I185" i="2"/>
  <c r="F185" i="2"/>
  <c r="I180" i="2"/>
  <c r="I179" i="2" s="1"/>
  <c r="I178" i="2" s="1"/>
  <c r="F180" i="2"/>
  <c r="F179" i="2" s="1"/>
  <c r="F178" i="2" s="1"/>
  <c r="I176" i="2"/>
  <c r="I175" i="2" s="1"/>
  <c r="I174" i="2" s="1"/>
  <c r="F176" i="2"/>
  <c r="F175" i="2" s="1"/>
  <c r="F174" i="2" s="1"/>
  <c r="I171" i="2"/>
  <c r="I170" i="2" s="1"/>
  <c r="I169" i="2" s="1"/>
  <c r="F171" i="2"/>
  <c r="F170" i="2" s="1"/>
  <c r="F169" i="2" s="1"/>
  <c r="I167" i="2"/>
  <c r="I166" i="2" s="1"/>
  <c r="I165" i="2" s="1"/>
  <c r="F167" i="2"/>
  <c r="F166" i="2" s="1"/>
  <c r="F165" i="2" s="1"/>
  <c r="I162" i="2"/>
  <c r="I161" i="2" s="1"/>
  <c r="I160" i="2" s="1"/>
  <c r="F162" i="2"/>
  <c r="F161" i="2" s="1"/>
  <c r="F160" i="2" s="1"/>
  <c r="I156" i="2"/>
  <c r="I155" i="2" s="1"/>
  <c r="F156" i="2"/>
  <c r="F155" i="2" s="1"/>
  <c r="I144" i="2"/>
  <c r="I143" i="2" s="1"/>
  <c r="F144" i="2"/>
  <c r="F143" i="2" s="1"/>
  <c r="I141" i="2"/>
  <c r="I140" i="2" s="1"/>
  <c r="F141" i="2"/>
  <c r="F140" i="2" s="1"/>
  <c r="I137" i="2"/>
  <c r="I135" i="2"/>
  <c r="F135" i="2"/>
  <c r="I131" i="2"/>
  <c r="F131" i="2"/>
  <c r="I129" i="2"/>
  <c r="F129" i="2"/>
  <c r="I127" i="2"/>
  <c r="F127" i="2"/>
  <c r="I125" i="2"/>
  <c r="F125" i="2"/>
  <c r="I123" i="2"/>
  <c r="F123" i="2"/>
  <c r="I121" i="2"/>
  <c r="F121" i="2"/>
  <c r="I117" i="2"/>
  <c r="F117" i="2"/>
  <c r="I115" i="2"/>
  <c r="F115" i="2"/>
  <c r="I113" i="2"/>
  <c r="F113" i="2"/>
  <c r="I111" i="2"/>
  <c r="F111" i="2"/>
  <c r="I107" i="2"/>
  <c r="I106" i="2" s="1"/>
  <c r="I105" i="2" s="1"/>
  <c r="F107" i="2"/>
  <c r="F106" i="2" s="1"/>
  <c r="F105" i="2" s="1"/>
  <c r="I102" i="2"/>
  <c r="I101" i="2" s="1"/>
  <c r="F102" i="2"/>
  <c r="F101" i="2" s="1"/>
  <c r="I98" i="2"/>
  <c r="I97" i="2" s="1"/>
  <c r="F98" i="2"/>
  <c r="F97" i="2" s="1"/>
  <c r="I94" i="2"/>
  <c r="I93" i="2" s="1"/>
  <c r="F94" i="2"/>
  <c r="F93" i="2" s="1"/>
  <c r="I91" i="2"/>
  <c r="I87" i="2" s="1"/>
  <c r="F91" i="2"/>
  <c r="F87" i="2" s="1"/>
  <c r="I84" i="2"/>
  <c r="I83" i="2" s="1"/>
  <c r="I82" i="2" s="1"/>
  <c r="F84" i="2"/>
  <c r="F83" i="2" s="1"/>
  <c r="F82" i="2" s="1"/>
  <c r="I79" i="2"/>
  <c r="I78" i="2" s="1"/>
  <c r="I77" i="2" s="1"/>
  <c r="F79" i="2"/>
  <c r="F78" i="2" s="1"/>
  <c r="F77" i="2" s="1"/>
  <c r="I75" i="2"/>
  <c r="I74" i="2" s="1"/>
  <c r="F75" i="2"/>
  <c r="F74" i="2" s="1"/>
  <c r="I72" i="2"/>
  <c r="I71" i="2" s="1"/>
  <c r="F72" i="2"/>
  <c r="F71" i="2" s="1"/>
  <c r="I66" i="2"/>
  <c r="I65" i="2" s="1"/>
  <c r="I64" i="2" s="1"/>
  <c r="F66" i="2"/>
  <c r="F65" i="2" s="1"/>
  <c r="F64" i="2" s="1"/>
  <c r="I60" i="2"/>
  <c r="I59" i="2" s="1"/>
  <c r="F60" i="2"/>
  <c r="F59" i="2" s="1"/>
  <c r="I54" i="2"/>
  <c r="F54" i="2"/>
  <c r="I52" i="2"/>
  <c r="F52" i="2"/>
  <c r="I47" i="2"/>
  <c r="F47" i="2"/>
  <c r="I43" i="2"/>
  <c r="F43" i="2"/>
  <c r="I41" i="2"/>
  <c r="F41" i="2"/>
  <c r="I39" i="2"/>
  <c r="F39" i="2"/>
  <c r="I33" i="2"/>
  <c r="I32" i="2" s="1"/>
  <c r="I31" i="2" s="1"/>
  <c r="F33" i="2"/>
  <c r="F32" i="2" s="1"/>
  <c r="F31" i="2" s="1"/>
  <c r="I29" i="2"/>
  <c r="F29" i="2"/>
  <c r="I25" i="2"/>
  <c r="F25" i="2"/>
  <c r="I22" i="2"/>
  <c r="F22" i="2"/>
  <c r="I20" i="2"/>
  <c r="F20" i="2"/>
  <c r="I204" i="2" l="1"/>
  <c r="I203" i="2" s="1"/>
  <c r="I256" i="2"/>
  <c r="F19" i="2"/>
  <c r="F110" i="2"/>
  <c r="F109" i="2" s="1"/>
  <c r="F222" i="2"/>
  <c r="F221" i="2" s="1"/>
  <c r="F38" i="2"/>
  <c r="F37" i="2" s="1"/>
  <c r="F264" i="2"/>
  <c r="F263" i="2" s="1"/>
  <c r="I19" i="2"/>
  <c r="I24" i="2"/>
  <c r="I134" i="2"/>
  <c r="I133" i="2" s="1"/>
  <c r="I239" i="2"/>
  <c r="I238" i="2" s="1"/>
  <c r="I237" i="2" s="1"/>
  <c r="I295" i="2"/>
  <c r="I294" i="2" s="1"/>
  <c r="F139" i="2"/>
  <c r="F134" i="2"/>
  <c r="F133" i="2" s="1"/>
  <c r="I120" i="2"/>
  <c r="I119" i="2" s="1"/>
  <c r="I264" i="2"/>
  <c r="I263" i="2" s="1"/>
  <c r="F295" i="2"/>
  <c r="F294" i="2" s="1"/>
  <c r="F204" i="2"/>
  <c r="F203" i="2" s="1"/>
  <c r="I222" i="2"/>
  <c r="I221" i="2" s="1"/>
  <c r="I220" i="2" s="1"/>
  <c r="I38" i="2"/>
  <c r="I37" i="2" s="1"/>
  <c r="I139" i="2"/>
  <c r="I184" i="2"/>
  <c r="I183" i="2" s="1"/>
  <c r="I250" i="2"/>
  <c r="F46" i="2"/>
  <c r="F45" i="2" s="1"/>
  <c r="F36" i="2" s="1"/>
  <c r="F173" i="2"/>
  <c r="F256" i="2"/>
  <c r="F24" i="2"/>
  <c r="F18" i="2" s="1"/>
  <c r="F120" i="2"/>
  <c r="F119" i="2" s="1"/>
  <c r="I110" i="2"/>
  <c r="I109" i="2" s="1"/>
  <c r="F250" i="2"/>
  <c r="I70" i="2"/>
  <c r="I69" i="2" s="1"/>
  <c r="I46" i="2"/>
  <c r="I45" i="2" s="1"/>
  <c r="I96" i="2"/>
  <c r="I269" i="2"/>
  <c r="F150" i="2"/>
  <c r="F220" i="2"/>
  <c r="I150" i="2"/>
  <c r="F184" i="2"/>
  <c r="F183" i="2" s="1"/>
  <c r="F239" i="2"/>
  <c r="F238" i="2" s="1"/>
  <c r="F237" i="2" s="1"/>
  <c r="I86" i="2"/>
  <c r="I213" i="2"/>
  <c r="F269" i="2"/>
  <c r="I173" i="2"/>
  <c r="F213" i="2"/>
  <c r="F70" i="2"/>
  <c r="F69" i="2" s="1"/>
  <c r="F300" i="2"/>
  <c r="F86" i="2"/>
  <c r="F96" i="2"/>
  <c r="I300" i="2"/>
  <c r="I289" i="2" s="1"/>
  <c r="I18" i="2" l="1"/>
  <c r="F289" i="2"/>
  <c r="F104" i="2"/>
  <c r="I36" i="2"/>
  <c r="F249" i="2"/>
  <c r="I81" i="2"/>
  <c r="I182" i="2"/>
  <c r="I249" i="2"/>
  <c r="F182" i="2"/>
  <c r="I104" i="2"/>
  <c r="F81" i="2"/>
  <c r="I17" i="2" l="1"/>
  <c r="I16" i="2" s="1"/>
  <c r="F17" i="2"/>
  <c r="F16" i="2" s="1"/>
  <c r="N182" i="5"/>
  <c r="F177" i="5"/>
  <c r="H182" i="5"/>
  <c r="H177" i="5"/>
  <c r="F17" i="5" l="1"/>
  <c r="F16" i="5" s="1"/>
  <c r="L177" i="5"/>
  <c r="L17" i="5" s="1"/>
  <c r="L16" i="5" s="1"/>
  <c r="N177" i="5"/>
  <c r="N17" i="5" s="1"/>
  <c r="N16" i="5" s="1"/>
  <c r="H17" i="5"/>
  <c r="H16" i="5" s="1"/>
  <c r="G296" i="5" l="1"/>
  <c r="G295" i="5"/>
  <c r="G284" i="5" s="1"/>
  <c r="G17" i="5" s="1"/>
  <c r="G16" i="5" s="1"/>
  <c r="H122" i="9" l="1"/>
  <c r="N122" i="9" s="1"/>
  <c r="G91" i="9"/>
  <c r="G17" i="9" s="1"/>
  <c r="G16" i="9" s="1"/>
  <c r="M122" i="9" l="1"/>
  <c r="M114" i="9" s="1"/>
  <c r="N91" i="9" l="1"/>
  <c r="N17" i="9" s="1"/>
  <c r="N16" i="9" s="1"/>
  <c r="M91" i="9"/>
  <c r="M17" i="9" s="1"/>
  <c r="M16" i="9" s="1"/>
</calcChain>
</file>

<file path=xl/sharedStrings.xml><?xml version="1.0" encoding="utf-8"?>
<sst xmlns="http://schemas.openxmlformats.org/spreadsheetml/2006/main" count="13450" uniqueCount="532">
  <si>
    <t>Приложение №7</t>
  </si>
  <si>
    <t xml:space="preserve">к решению Совета  </t>
  </si>
  <si>
    <t>Туапсинского городского поселения</t>
  </si>
  <si>
    <t>Туапсинского района</t>
  </si>
  <si>
    <t>Распределение бюджетных ассигнований по целевым статьям</t>
  </si>
  <si>
    <t xml:space="preserve">(муниципальным программам Туапсинского городского поселения Туапсинского района и непрограммным направлениям деятельности), группам видов расходов классификации расходов бюджетов </t>
  </si>
  <si>
    <t xml:space="preserve">на 2024 год </t>
  </si>
  <si>
    <t>№ п/п</t>
  </si>
  <si>
    <t>Наименование</t>
  </si>
  <si>
    <t>Код по бюджетной классификации</t>
  </si>
  <si>
    <t>ЦСР</t>
  </si>
  <si>
    <t>ВР</t>
  </si>
  <si>
    <t>местный бюджет</t>
  </si>
  <si>
    <t>изменения</t>
  </si>
  <si>
    <t>сумма</t>
  </si>
  <si>
    <t>бюджеты других уровней</t>
  </si>
  <si>
    <t>Бюджет всего</t>
  </si>
  <si>
    <t>1</t>
  </si>
  <si>
    <t>2</t>
  </si>
  <si>
    <t>3</t>
  </si>
  <si>
    <t>ВСЕГО РАСХОДОВ, в том числе:</t>
  </si>
  <si>
    <t>1.</t>
  </si>
  <si>
    <t>МУНИЦИПАЛЬНЫЕ ПРОГРАММЫ ТУАПСИНСКОГО ГОРОДСКОГО ПОСЕЛЕНИЯ</t>
  </si>
  <si>
    <t>1.1</t>
  </si>
  <si>
    <t>Муниципальная программа "Молодежь города Туапсе"</t>
  </si>
  <si>
    <t>0100000000</t>
  </si>
  <si>
    <t/>
  </si>
  <si>
    <t>Создание условий для гражданского становления молодого поколения, физического, духовного и патриотического воспитания молодежи</t>
  </si>
  <si>
    <t>0100100000</t>
  </si>
  <si>
    <t>Организация работы спортивно-игровых площадок по месту жительства и временной трудовой занятости подростков и молодежи</t>
  </si>
  <si>
    <t>0100121510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</si>
  <si>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</si>
  <si>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</si>
  <si>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Мероприятия, направленные на гражданское, патриотическое и духовно-нравственное воспитание молодых граждан</t>
  </si>
  <si>
    <t>0100122510</t>
  </si>
  <si>
    <t>Закупка товаров, работ и услуг для обеспечения государственных (муниципальных) нужд</t>
  </si>
  <si>
    <t>200</t>
  </si>
  <si>
    <t>Материально-техническое и финансовое обеспечение муниципальных учреждений, осуществляющих деятельность в сфере молодежной политики</t>
  </si>
  <si>
    <t>0100200000</t>
  </si>
  <si>
    <t>Расходы на обеспечение деятельности (оказание услуг) муниципальных учреждений</t>
  </si>
  <si>
    <t>0100200590</t>
  </si>
  <si>
    <t>Иные бюджетные ассигнования</t>
  </si>
  <si>
    <t>800</t>
  </si>
  <si>
    <t>Организация работы и укрепление материально-технической базы молодежных клубов</t>
  </si>
  <si>
    <t>0100221520</t>
  </si>
  <si>
    <t>Оснащение оборудованием и техникой муниципальных учреждений, осуществляющих деятельность в сфере молодежной политики за счет целевых пожертвований от ООО " Туапсинский балкерный терминал"</t>
  </si>
  <si>
    <t>0100221530</t>
  </si>
  <si>
    <t>1.2.</t>
  </si>
  <si>
    <t>Муниципальная программа "Развитие физической культуры и спорта в городе Туапсе"</t>
  </si>
  <si>
    <t>0200000000</t>
  </si>
  <si>
    <t>Физическое воспитание и физическое развитие граждан посредством организации и проведения (участия) физкультурных мероприятий и массовых спортивных мероприятий</t>
  </si>
  <si>
    <t>0200100000</t>
  </si>
  <si>
    <t>Реализация мероприятий муниципальной программы "Развитие физической культуры и спорта в городе Туапсе"</t>
  </si>
  <si>
    <t>0200122520</t>
  </si>
  <si>
    <t>Социальное обеспечение и иные выплаты населению</t>
  </si>
  <si>
    <t>300</t>
  </si>
  <si>
    <t>1.3.</t>
  </si>
  <si>
    <t>Муниципальная программа "Развитие культуры, искусства и кинематографии города Туапсе"</t>
  </si>
  <si>
    <t>0300000000</t>
  </si>
  <si>
    <t>Культура города Туапсе</t>
  </si>
  <si>
    <t>0310000000</t>
  </si>
  <si>
    <t>Развитие культуры города Туапсе</t>
  </si>
  <si>
    <t>0310100000</t>
  </si>
  <si>
    <t>Реализация мероприятий в области культуры</t>
  </si>
  <si>
    <t>0310109810</t>
  </si>
  <si>
    <t>Комплектование книжных фондов библиотек</t>
  </si>
  <si>
    <t>0310121440</t>
  </si>
  <si>
    <t>Сохранение историко-культурного наследия</t>
  </si>
  <si>
    <t>0310122530</t>
  </si>
  <si>
    <t>Совершенствование деятельности муниципальных учреждений отрасли «Культура, искусство и кинематография города Туапсе»</t>
  </si>
  <si>
    <t>0330000000</t>
  </si>
  <si>
    <t>Повышение эффективности предоставления муниципальных услуг в сфере культуры, искусства и кинематографии</t>
  </si>
  <si>
    <t>0330100000</t>
  </si>
  <si>
    <t>0330100590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</si>
  <si>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</si>
  <si>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</si>
  <si>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муниципальными учреждениями капитального ремонта</t>
  </si>
  <si>
    <t>0330109020</t>
  </si>
  <si>
    <t>Осуществление муниципальными учреждениями отдельных мероприятий по предоставляемым иным целевым субсидиям</t>
  </si>
  <si>
    <t>0330109100</t>
  </si>
  <si>
    <t>Поддержка творческой деятельности и техническое оснащение детских и кукольных театров</t>
  </si>
  <si>
    <t>03301L5170</t>
  </si>
  <si>
    <t>Федеральный проект "Культурная среда"</t>
  </si>
  <si>
    <t>033А100000</t>
  </si>
  <si>
    <t>Техническое оснащение региональных и муниципальных музеев</t>
  </si>
  <si>
    <t>033А155900</t>
  </si>
  <si>
    <t>Создание условий для обеспечения деятельности муниципальных учреждений в сфере культуры, искусства и кинематографии</t>
  </si>
  <si>
    <t>0330200000</t>
  </si>
  <si>
    <t>0330200590</t>
  </si>
  <si>
    <t>Отдельные мероприятий по управлению реализацией муниципальной программы</t>
  </si>
  <si>
    <t>0340000000</t>
  </si>
  <si>
    <t>Обеспечение деятельности отдела культуры администрации Туапсинского городского поселения</t>
  </si>
  <si>
    <t>0340100000</t>
  </si>
  <si>
    <t>Расходы на обеспечение функций органов местного самоуправления</t>
  </si>
  <si>
    <t>0340100190</t>
  </si>
  <si>
    <t>1.4.</t>
  </si>
  <si>
    <t>Муниципальная программа "Социальная поддержка граждан города Туапсе"</t>
  </si>
  <si>
    <t>0400000000</t>
  </si>
  <si>
    <t>Развитие мер социальной поддержки отдельных категорий граждан</t>
  </si>
  <si>
    <t>0410000000</t>
  </si>
  <si>
    <t>Дополнительные меры социальной поддержки граждан города Туапсе</t>
  </si>
  <si>
    <t>0410100000</t>
  </si>
  <si>
    <t>Социальная поддержка отдельных категорий граждан</t>
  </si>
  <si>
    <t>0410120820</t>
  </si>
  <si>
    <t>Меры муниципальной поддержки лиц, замещавших муниципальные должности и должности муниципальной службы</t>
  </si>
  <si>
    <t>0410200000</t>
  </si>
  <si>
    <t>Выплата дополнительного материального обеспечения, доплат к пенсиям, пособий и компенсаций</t>
  </si>
  <si>
    <t>0410241210</t>
  </si>
  <si>
    <t>Поддержка социально ориентированных некоммерческих организаций, осуществляющих деятельность в городе Туапсе</t>
  </si>
  <si>
    <t>0420000000</t>
  </si>
  <si>
    <t>Оказание финансовой поддержки социально-ориентированным некоммерческим организациям при реализации ими собственных общественно-полезных программ, направленных на решение социальных проблем</t>
  </si>
  <si>
    <t>0420100000</t>
  </si>
  <si>
    <t>Поддержка социально-ориентированных некоммерческих организаций и содействие развитию гражданского общества</t>
  </si>
  <si>
    <t>0420110300</t>
  </si>
  <si>
    <t>1.5.</t>
  </si>
  <si>
    <t>Муниципальная программа «Комплексное и устойчивое развитие города Туапсе в сфере строительства, архитектуры и дорожного хозяйства»</t>
  </si>
  <si>
    <t>0500000000</t>
  </si>
  <si>
    <t>Подготовка градостроительной и землеустроительной документации на территории города Туапсе</t>
  </si>
  <si>
    <t>0520000000</t>
  </si>
  <si>
    <t>Проведение комплекса мероприятий, направленных на рациональное территориальное планирование, землеустройство и землепользование</t>
  </si>
  <si>
    <t>0520100000</t>
  </si>
  <si>
    <t>Подготовка градостроительной и землеустроительной документации города Туапсе</t>
  </si>
  <si>
    <t>0520120300</t>
  </si>
  <si>
    <t>Подготовка изменений в Правила землепользования и застройки муниципальных образований Краснодарского края</t>
  </si>
  <si>
    <t>05201S2570</t>
  </si>
  <si>
    <t>Строительство, реконструкция, капитальный ремонт, ремонт и содержание автомобильных дорог города Туапсе</t>
  </si>
  <si>
    <t>0530000000</t>
  </si>
  <si>
    <t xml:space="preserve">Обеспечение сохранности и развития автомобильных дорог общего пользования </t>
  </si>
  <si>
    <t>0530100000</t>
  </si>
  <si>
    <t>Строительство, реконструкция, капитальный ремонт и ремонт автомобильных дорог общего пользования, в том числе дорог в поселениях (за исключением дорог федерального значения).</t>
  </si>
  <si>
    <t>0530121090</t>
  </si>
  <si>
    <t>Капитальные вложения в объекты государственной (муниципальной) собственности</t>
  </si>
  <si>
    <t>400</t>
  </si>
  <si>
    <t>Строительство, реконструкция, капитальный ремонт и ремонт автомобильных дорог общего пользования, в том числе дорог в поселениях (за исключением дорог федерального значения) за счет безвозмездных поступлений (целевых пожертвований) от физических и (или) юридических лиц.</t>
  </si>
  <si>
    <t>0530121091</t>
  </si>
  <si>
    <t>Содержание автомобильных дорог общего пользования местного значения, в том числе дорог в поселениях (за исключением автомобильных дорог федерального значения), включая проектные работы</t>
  </si>
  <si>
    <t>0530121100</t>
  </si>
  <si>
    <t>Обеспечение безопасности дорожного движения на территории Туапсинского городского поселения</t>
  </si>
  <si>
    <t>0530200000</t>
  </si>
  <si>
    <t>0530221100</t>
  </si>
  <si>
    <t>Отдельные мероприятия муниципальной программы</t>
  </si>
  <si>
    <t>0540000000</t>
  </si>
  <si>
    <t>Материально-техническое и финансовое обеспечение муниципальных учреждений Туапсинского городского поселения в сфере капитального строительства</t>
  </si>
  <si>
    <t>0540100000</t>
  </si>
  <si>
    <t>0540100590</t>
  </si>
  <si>
    <t>Реализация градостроительной деятельности</t>
  </si>
  <si>
    <t>0540300000</t>
  </si>
  <si>
    <t>Мероприятия по сносу самовольного построения</t>
  </si>
  <si>
    <t>0540320320</t>
  </si>
  <si>
    <t>Материально-техническое и финансовое обеспечение муниципальных учреждений Туапсинского городского поселения в сфере архитектуры и градостроительства</t>
  </si>
  <si>
    <t>0540400000</t>
  </si>
  <si>
    <t>0540400590</t>
  </si>
  <si>
    <t>Создание условий для развития массового строительства жилья</t>
  </si>
  <si>
    <t>0540500000</t>
  </si>
  <si>
    <t>Обеспечение земельных участков инженерной инфраструктурой в целях жилищного строительства</t>
  </si>
  <si>
    <t>0540520430</t>
  </si>
  <si>
    <t>1.6.</t>
  </si>
  <si>
    <t>Муниципальная программа «Развитие жилищно-коммунального хозяйства»</t>
  </si>
  <si>
    <t>0600000000</t>
  </si>
  <si>
    <t>Улучшение жилищных условий населения города Туапсе</t>
  </si>
  <si>
    <t>0610000000</t>
  </si>
  <si>
    <t>Обеспечение доступным и комфортным жильем градан, проживающих на территории города Туапсе</t>
  </si>
  <si>
    <t>0610100000</t>
  </si>
  <si>
    <t>Реализация мероприятий по обеспечению жильем молодых семей</t>
  </si>
  <si>
    <t>06101L4970</t>
  </si>
  <si>
    <t>Содержание и развитие коммунального хозяйства города Туапсе</t>
  </si>
  <si>
    <t>0620000000</t>
  </si>
  <si>
    <t>Проведение комплекса мероприятий по модернизации, строительству, реконструкции и ремонту объектов ЖХК</t>
  </si>
  <si>
    <t>0620100000</t>
  </si>
  <si>
    <t>Развитие водоснабжения города Туапсе</t>
  </si>
  <si>
    <t>0620110270</t>
  </si>
  <si>
    <t>Строительство и реконструкция объектов водоотведения</t>
  </si>
  <si>
    <t>0620198100</t>
  </si>
  <si>
    <t>Органиязация водоотведения</t>
  </si>
  <si>
    <t>06201S0310</t>
  </si>
  <si>
    <t>Организация водоснабжения населения</t>
  </si>
  <si>
    <t>06201S0330</t>
  </si>
  <si>
    <t>Благоустройство города Туапсе</t>
  </si>
  <si>
    <t>0630000000</t>
  </si>
  <si>
    <t>Создание комфортных и благоприятных условий жизни населения  и  обеспечение функционирования инфраструктуры города Туапсе</t>
  </si>
  <si>
    <t>0630100000</t>
  </si>
  <si>
    <t>Уличное освещение</t>
  </si>
  <si>
    <t>0630121030</t>
  </si>
  <si>
    <t>Озеленение</t>
  </si>
  <si>
    <t>0630121040</t>
  </si>
  <si>
    <t>Организация и содержание мест захоронения</t>
  </si>
  <si>
    <t>0630121050</t>
  </si>
  <si>
    <t>Прочие мероприятия по благоустройству</t>
  </si>
  <si>
    <t>0630121060</t>
  </si>
  <si>
    <t>Приобретение специализированной техники, оборудования</t>
  </si>
  <si>
    <t>0630121130</t>
  </si>
  <si>
    <t>Организация сбора и вывоза бытовых отходов и мусора, уборка территории города</t>
  </si>
  <si>
    <t>0630122550</t>
  </si>
  <si>
    <t>Создание условий для массового отдыха жителей и организация обустройства мест массового отдыха населения</t>
  </si>
  <si>
    <t>0630122610</t>
  </si>
  <si>
    <t>Содержание и развитие жилищного хозяйства города Туапсе</t>
  </si>
  <si>
    <t>0640000000</t>
  </si>
  <si>
    <t>Формирование эффективных механизмов управления муниципальным жилищным фондом</t>
  </si>
  <si>
    <t>0640100000</t>
  </si>
  <si>
    <t>Взнос органа местного самоуправления на капитальный ремонт общего имущества за муниципальные помещения</t>
  </si>
  <si>
    <t>0640120990</t>
  </si>
  <si>
    <t>Содержание и капитальный ремонт муниципального жилищного фонда, обеспечение его сохранности</t>
  </si>
  <si>
    <t>0640121010</t>
  </si>
  <si>
    <t>Отдельные мероприятия программы</t>
  </si>
  <si>
    <t>0650000000</t>
  </si>
  <si>
    <t>Совершенствование деятельности муниципальных учреждений для оказания услуг в сфере ЖКХ</t>
  </si>
  <si>
    <t>0650100000</t>
  </si>
  <si>
    <t>0650100590</t>
  </si>
  <si>
    <t>Совершенствование деятельности муниципальных учреждений для оказания муниципальных услуг в сфере благоустройства</t>
  </si>
  <si>
    <t>0650300000</t>
  </si>
  <si>
    <t>0650300590</t>
  </si>
  <si>
    <t>Приобретение муниципальными учреждениями движимого имущества</t>
  </si>
  <si>
    <t>0650309010</t>
  </si>
  <si>
    <t>0650309100</t>
  </si>
  <si>
    <t>Финансовая поддержка предприятий, в которых доля участия Туапсинского городского поселения составляет не менее 20 процентов</t>
  </si>
  <si>
    <t>0650500000</t>
  </si>
  <si>
    <t>Финансовое обеспечение расходов, связанных с погашением задолженности и (или) на возмещение недополученных доходов предприятий, в которых доля участия Туапсинского городского поселения составляет не менее 20 процентов</t>
  </si>
  <si>
    <t>0650521300</t>
  </si>
  <si>
    <t>1.7</t>
  </si>
  <si>
    <t>Муниципальная программа «Социально-экономическое развитие города Туапсе»</t>
  </si>
  <si>
    <t>0700000000</t>
  </si>
  <si>
    <t>Город Воинской Славы- новый облик</t>
  </si>
  <si>
    <t>0720000000</t>
  </si>
  <si>
    <t>Развитие города Туапсе ,как столицы Туапсинского района</t>
  </si>
  <si>
    <t>0720100000</t>
  </si>
  <si>
    <t>0720122530</t>
  </si>
  <si>
    <t>Муниципальная поддержка малого и среднего предпринимательства</t>
  </si>
  <si>
    <t>0730000000</t>
  </si>
  <si>
    <t>Оказание муниципальной поддержки субъектам малого и среднего предпринимательства</t>
  </si>
  <si>
    <t>0730100000</t>
  </si>
  <si>
    <t>0730111450</t>
  </si>
  <si>
    <t>Реализация мероприятий в сфере торговли и транспорта</t>
  </si>
  <si>
    <t>0740000000</t>
  </si>
  <si>
    <t>Совершенствование деятельности муниципальных учреждений для оказания муниципальных услуг в сфере торговли и транспорта</t>
  </si>
  <si>
    <t>0740100000</t>
  </si>
  <si>
    <t>0740100590</t>
  </si>
  <si>
    <t>Создание условий для предоставления транспортных услуг населению и организация транспортного обслуживания населения города Туапсе</t>
  </si>
  <si>
    <t>0750000000</t>
  </si>
  <si>
    <t>Организация предоставления транспортных услуг населению и развитие транспортной инфраструктуры города Туапсе</t>
  </si>
  <si>
    <t>0750100000</t>
  </si>
  <si>
    <t>Развитие транспортной инфраструктуры города Туапсе</t>
  </si>
  <si>
    <t>0750122710</t>
  </si>
  <si>
    <t>0760000000</t>
  </si>
  <si>
    <t>Создание объектов общественной инфраструктуры муниципальной собственности</t>
  </si>
  <si>
    <t>0760100000</t>
  </si>
  <si>
    <t>Строительство, реконструкция (в том числе реконструкция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</t>
  </si>
  <si>
    <t>07601S0470</t>
  </si>
  <si>
    <t>1.8.</t>
  </si>
  <si>
    <t>Муниципальная программа «Информационное общество города Туапсе»</t>
  </si>
  <si>
    <t>0800000000</t>
  </si>
  <si>
    <t>Информационное обеспечение и сопровождение</t>
  </si>
  <si>
    <t>0810000000</t>
  </si>
  <si>
    <t xml:space="preserve">Обеспечение доступа к информации о деятельности органов местного самоуправления </t>
  </si>
  <si>
    <t>0810100000</t>
  </si>
  <si>
    <t>Реализация мероприятий муниципальной программы «Информационное общество города Туапсе»</t>
  </si>
  <si>
    <t>0810122540</t>
  </si>
  <si>
    <t>Информационный регион</t>
  </si>
  <si>
    <t>0820000000</t>
  </si>
  <si>
    <t>Развитие технической и технологической основы становления информационного общества</t>
  </si>
  <si>
    <t>0820100000</t>
  </si>
  <si>
    <t>0820122540</t>
  </si>
  <si>
    <t>Реализация мероприятий муниципальной программы «Информационное общество города Туапсе», Закупка товаров, работ и услуг для обеспечения государственных (муниципальных) нужд</t>
  </si>
  <si>
    <t>1.9.</t>
  </si>
  <si>
    <t>Муниципальная программа «Обеспечение безопасности населения»</t>
  </si>
  <si>
    <t>0900000000</t>
  </si>
  <si>
    <t>Мероприятия по гражданской обороне, предупреждению и ликвидации чрезвычайных ситуаций, стихийных бедствий и их последствий в городе Туапсе</t>
  </si>
  <si>
    <t>0910000000</t>
  </si>
  <si>
    <t>Организация и осуществление мероприятий по гражданской обороне, предупреждению и ликвидации чрезвычайных ситуаций, стихийных бедствий и их последствий в городе Туапсе</t>
  </si>
  <si>
    <t>0910100000</t>
  </si>
  <si>
    <t>0910100590</t>
  </si>
  <si>
    <t>Мероприятия по предупреждению и ликвидации чрезвычайных ситуаций, стихийных бедствий и их последствий, выполняемые в рамках специальных решений</t>
  </si>
  <si>
    <t>0910110540</t>
  </si>
  <si>
    <t>Финансовый резерв на мероприятия по ликвидации чрезвычайных ситуаций и стихийных бедствий, выполняемых в рамках специальных решений</t>
  </si>
  <si>
    <t>0910120540</t>
  </si>
  <si>
    <t xml:space="preserve">Обеспечение деятельности аварийно-спасательных служб и (или) аварийно-спасательных формирований </t>
  </si>
  <si>
    <t>0910200000</t>
  </si>
  <si>
    <t>Расходы на обеспечение деятельности (оказание услуг) муниципальных учреждений по передаваемым полномочиям (по созданию, содержанию и организации деятельности аварийно-спасательных служб и (или) аварийно-спасательных формирований)</t>
  </si>
  <si>
    <t>0910221590</t>
  </si>
  <si>
    <t>Межбюджетные трансферты</t>
  </si>
  <si>
    <t>500</t>
  </si>
  <si>
    <t>Создание на территории муниципального образования сегмента системы обеспечения вызова экстренных оперативных служб по единому номеру «112»</t>
  </si>
  <si>
    <t>0910300000</t>
  </si>
  <si>
    <t>Расходы на обеспечение деятельности (оказание услуг) муниципальных учреждений по передаваемым полномочиям (в части содержания сегмента системы обеспечения вызова экстренных оперативных служб по единому номеру «112»)</t>
  </si>
  <si>
    <t>0910321594</t>
  </si>
  <si>
    <t>Пожарная безопасность города Туапсе</t>
  </si>
  <si>
    <t>0920000000</t>
  </si>
  <si>
    <t>Реализация первичных мер пожарной безопасности в границах города Туапсе</t>
  </si>
  <si>
    <t>0920100000</t>
  </si>
  <si>
    <t>Мероприятия по пожарной безопасности</t>
  </si>
  <si>
    <t>0920110280</t>
  </si>
  <si>
    <t>Профилактика терроризма и экстремизма в городе Туапсе</t>
  </si>
  <si>
    <t>0930000000</t>
  </si>
  <si>
    <t>Организация профилактических мероприятий по антитеррористической деятельности на территории города Туапсе</t>
  </si>
  <si>
    <t>0930100000</t>
  </si>
  <si>
    <t xml:space="preserve">Мероприятия по профилактике терроризма и экстремизма </t>
  </si>
  <si>
    <t>0930110110</t>
  </si>
  <si>
    <t>Расходы на обеспечение деятельности (оказание услуг) муниципальных учреждений по передаваемым полномочиям (участие в профилактике терроризма и экстремизма)</t>
  </si>
  <si>
    <t>0930121592</t>
  </si>
  <si>
    <t>Противодействие коррупции в городе Туапсе</t>
  </si>
  <si>
    <t>0940000000</t>
  </si>
  <si>
    <t>Осуществление мероприятий по повышению эффективности системы противодействия коррупции</t>
  </si>
  <si>
    <t>0940100000</t>
  </si>
  <si>
    <t>Мероприятия по противодействию коррупции</t>
  </si>
  <si>
    <t>0940122560</t>
  </si>
  <si>
    <t>0950000000</t>
  </si>
  <si>
    <t>Осуществление мероприятий по обеспечению безопасности людей на водных объектах, охране их жизни и здоровья</t>
  </si>
  <si>
    <t>0950100000</t>
  </si>
  <si>
    <t>Расходы на обеспечение деятельности (оказание услуг) муниципальных учреждений по передаваемым полномочиям (на обеспечение безопасности людей на водных объектах, охране их жизни и здоровья)</t>
  </si>
  <si>
    <t>0950121600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</si>
  <si>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</si>
  <si>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0950200000</t>
  </si>
  <si>
    <t>Создание условий для деятельности народных дружин</t>
  </si>
  <si>
    <t>0950222620</t>
  </si>
  <si>
    <t>1.10.</t>
  </si>
  <si>
    <t>Муниципальная программа «Развитие гражданского общества и укрепление единства российской нации на территории города Туапсе»</t>
  </si>
  <si>
    <t>1000000000</t>
  </si>
  <si>
    <t>Поддержка деятельности территориального общественного самоуправления</t>
  </si>
  <si>
    <t>1010000000</t>
  </si>
  <si>
    <t xml:space="preserve">Повышение эффективности работы органов территориального общественного самоуправления </t>
  </si>
  <si>
    <t>1010100000</t>
  </si>
  <si>
    <t>1010120780</t>
  </si>
  <si>
    <t>Премия победителям конкурса «Лучший орган территориального общественного самоуправления»</t>
  </si>
  <si>
    <t>1010120800</t>
  </si>
  <si>
    <t>Гармонизация межнациональных отношений и развитие национальных культур в городе Туапсе</t>
  </si>
  <si>
    <t>1020000000</t>
  </si>
  <si>
    <t>Развитие национально-культурного взаимодействия представителей различных национальностей, конфессий, проживающих на территории города Туапсе</t>
  </si>
  <si>
    <t>1020100000</t>
  </si>
  <si>
    <t>Реализация мероприятий по гармонизации межнациональных отношений и развитию национальных культур в городе Туапсе</t>
  </si>
  <si>
    <t>1020122580</t>
  </si>
  <si>
    <t>Укрепление единства российской нации на территории города Туапсе</t>
  </si>
  <si>
    <t>1030000000</t>
  </si>
  <si>
    <t>Организация проведения городских мероприятий по празднованию государственных и международных праздников, памятных дат и исторических событий России, Кубани и города Туапсе, чествование предприятий, организаций и граждан города, внесших значимый вклад в развитие города Туапсе, Кубани и России</t>
  </si>
  <si>
    <t>1030100000</t>
  </si>
  <si>
    <t>Реализация мероприятий по укреплению единства российской нации на территории города Туапсе</t>
  </si>
  <si>
    <t>1030122570</t>
  </si>
  <si>
    <t>1.11.</t>
  </si>
  <si>
    <t>Муниципальная программа «Развитие топливно-энергетического комплекса города Туапсе»</t>
  </si>
  <si>
    <t>1100000000</t>
  </si>
  <si>
    <t>Газификация города Туапсе</t>
  </si>
  <si>
    <t>1110000000</t>
  </si>
  <si>
    <t>Улучшение условий быта и производственной деятельности населения города Туапсе за счет более полного обеспечения его  газом</t>
  </si>
  <si>
    <t>1110100000</t>
  </si>
  <si>
    <t>Мероприятия по развитию газификации, финансовое обеспечение которых осуществляется за счет средств местного бюджета</t>
  </si>
  <si>
    <t>1110121120</t>
  </si>
  <si>
    <t>Организация газоснабжения населения (поселений)</t>
  </si>
  <si>
    <t>11101S0620</t>
  </si>
  <si>
    <t>Организация электроснабжения населения</t>
  </si>
  <si>
    <t>1120121140</t>
  </si>
  <si>
    <t>Развитие систем теплоснабжения города Туапсе</t>
  </si>
  <si>
    <t>1130000000</t>
  </si>
  <si>
    <t>Обеспечение наиболее качественного и надежного теплоснабжения и горячего водоснабжения потребителей города Туапсе</t>
  </si>
  <si>
    <t>1130100000</t>
  </si>
  <si>
    <t>1130121070</t>
  </si>
  <si>
    <t>1.12.</t>
  </si>
  <si>
    <t>Муниципальная программа «Муниципальное управление города Туапсе»</t>
  </si>
  <si>
    <t>1200000000</t>
  </si>
  <si>
    <t>Организация муниципального управления</t>
  </si>
  <si>
    <t>1210000000</t>
  </si>
  <si>
    <t>Обеспечение хозяйственного обслуживания</t>
  </si>
  <si>
    <t>1210200000</t>
  </si>
  <si>
    <t>1210200590</t>
  </si>
  <si>
    <t>Создание условий для выполнения органами местного самоуправления своих полномочий</t>
  </si>
  <si>
    <t>1210300000</t>
  </si>
  <si>
    <t>1210300590</t>
  </si>
  <si>
    <t>Мероприятия по созданию условий для осуществления управленческих функций органов местного самоуправления</t>
  </si>
  <si>
    <t>1210322650</t>
  </si>
  <si>
    <t>Муниципальные финансы</t>
  </si>
  <si>
    <t>1220000000</t>
  </si>
  <si>
    <t>Управление муниципальными финансами и муниципальным долгом Туапсинского городского поселения</t>
  </si>
  <si>
    <t>1220100000</t>
  </si>
  <si>
    <t>Процентные платежи по муниципальному долгу</t>
  </si>
  <si>
    <t>1220110520</t>
  </si>
  <si>
    <t>Обслуживание государственного (муниципального) долга</t>
  </si>
  <si>
    <t>700</t>
  </si>
  <si>
    <t>Мероприятия, направленные на увеличение доходной части бюджета</t>
  </si>
  <si>
    <t>1220122660</t>
  </si>
  <si>
    <t>Управление муниципальным имуществом и земельными ресурсами</t>
  </si>
  <si>
    <t>1230000000</t>
  </si>
  <si>
    <t>Обеспечение деятельности отдела имущественных и земельных отношений администрации Туапсинского городского поселения</t>
  </si>
  <si>
    <t>1230100000</t>
  </si>
  <si>
    <t>1230100190</t>
  </si>
  <si>
    <t>Совершенствование деятельности муниципальных учреждений  для оказания муниципальных услуг в сфере имущественных и земельных отношений</t>
  </si>
  <si>
    <t>1230200000</t>
  </si>
  <si>
    <t>1230200590</t>
  </si>
  <si>
    <t>Мероприятия по управлению имуществом и земельными ресурсами Туапсинского городского поселения</t>
  </si>
  <si>
    <t>1230300000</t>
  </si>
  <si>
    <t>Оценка недвижимости, признание прав и регулирование отношений по муниципальной собственности</t>
  </si>
  <si>
    <t>1230310390</t>
  </si>
  <si>
    <t>1.13.</t>
  </si>
  <si>
    <t>Муниципальная программа "Доступная среда"</t>
  </si>
  <si>
    <t>1300000000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</si>
  <si>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Туапсе</t>
  </si>
  <si>
    <t>1300100000</t>
  </si>
  <si>
    <t>Реализация мероприятий муниципальной программы «Доступная среда»</t>
  </si>
  <si>
    <t>1300122640</t>
  </si>
  <si>
    <t>1.14.</t>
  </si>
  <si>
    <t>Муниципальная программа "Формирование современной городской среды на территории Туапсинского городского поселения Туапсинского района""</t>
  </si>
  <si>
    <t>1400000000</t>
  </si>
  <si>
    <t>Благоустройство дворовых городских территорий и муниципальных территорий общего пользования города Туапсе</t>
  </si>
  <si>
    <t>1400100000</t>
  </si>
  <si>
    <t>Реализация мероприятий муниципальной программы "Формирование современной городской среды на территории Туапсинского городского поселения Туапсинского района"</t>
  </si>
  <si>
    <t>1400122730</t>
  </si>
  <si>
    <t>Благоустройство муниципальной территории городского пляжа города Туапсе</t>
  </si>
  <si>
    <t>1400124240</t>
  </si>
  <si>
    <t>2.</t>
  </si>
  <si>
    <t>НЕПРОГРАММНЫЕ   НАПРАВЛЕНИЯ   ДЕЯТЕЛЬНОСТИ</t>
  </si>
  <si>
    <t>2.1.</t>
  </si>
  <si>
    <t>Обеспечение деятельности высшего должностного лица муниципального образования</t>
  </si>
  <si>
    <t>5000000000</t>
  </si>
  <si>
    <t>Глава Туапсинского городского поселения Туапсинского района</t>
  </si>
  <si>
    <t>5010000000</t>
  </si>
  <si>
    <t>5010000190</t>
  </si>
  <si>
    <t>2.2.</t>
  </si>
  <si>
    <t>Обеспечение деятельности представительного органа местного самоуправления</t>
  </si>
  <si>
    <t>5100000000</t>
  </si>
  <si>
    <t>Совет Туапсинского городского поселения Туапсинского района</t>
  </si>
  <si>
    <t>5110000000</t>
  </si>
  <si>
    <t>5110000190</t>
  </si>
  <si>
    <t>Расходы на обеспечение функций органов местного самоуправления по передаваемым полномочиям (по осуществлению полномочий контрольно-счетного органа)</t>
  </si>
  <si>
    <t>5110021190</t>
  </si>
  <si>
    <t>2.3.</t>
  </si>
  <si>
    <t>Обеспечение деятельности исполнительно-распорядительно органа местного самоуправления</t>
  </si>
  <si>
    <t>5200000000</t>
  </si>
  <si>
    <t>Администрация Туапсинского городского поселения Туапсинского района</t>
  </si>
  <si>
    <t>5210000000</t>
  </si>
  <si>
    <t>5210000190</t>
  </si>
  <si>
    <t>Осуществление отдельных полномочий Краснодарского края</t>
  </si>
  <si>
    <t>5220000000</t>
  </si>
  <si>
    <t>Осуществление отдельных  государственных полномочий Краснодарского края по осуществлению регионального государственного контроля ( надзора) за исполнением плательщиками курортного сбора и операторами куроротного сбора требований законодательства Российской Федерации и Краснодарского края, связанных с проведением эксперимента, источником финансового обеспечения которых являются субвенции из краевого бюджета.</t>
  </si>
  <si>
    <t>5220060140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</si>
  <si>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</si>
  <si>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5220060190</t>
  </si>
  <si>
    <t>Финансовое обеспечение непредвиденных расходов</t>
  </si>
  <si>
    <t>5230000000</t>
  </si>
  <si>
    <t>Резервный фонд администрации Туапсинского городского поселения Туапсинского района</t>
  </si>
  <si>
    <t>5230010490</t>
  </si>
  <si>
    <t>2.4.</t>
  </si>
  <si>
    <t>Выплаты по обязательствам Туапсинского городского поселения</t>
  </si>
  <si>
    <t>5300000000</t>
  </si>
  <si>
    <t>Прочие выплаты по обязательствам муниципального образования</t>
  </si>
  <si>
    <t>5310000000</t>
  </si>
  <si>
    <t>Прочие выплаты по обязательствам Туапсинского городского поселения</t>
  </si>
  <si>
    <t>5310021240</t>
  </si>
  <si>
    <t xml:space="preserve"> Глава Туапсинского городского поселения                                    А.В.Береснев</t>
  </si>
  <si>
    <t>от 30.01.2024г.   № 17.3</t>
  </si>
  <si>
    <t>от  14.12.2023г. № 15.8</t>
  </si>
  <si>
    <t>Исполняющий обязанности главы Туапсинского городского поселения                                    А.В.Береснев</t>
  </si>
  <si>
    <t xml:space="preserve"> </t>
  </si>
  <si>
    <t>Обеспечение деятельности исполнительно-распорядительного органа местного самоуправления</t>
  </si>
  <si>
    <t>05201S2000</t>
  </si>
  <si>
    <t>Подготовка документации по планировке территории (проекта планировки территории и проекта межевании территории) муниципальных образований Краснодарского края</t>
  </si>
  <si>
    <t>0720122610</t>
  </si>
  <si>
    <t>06301S0360</t>
  </si>
  <si>
    <t>Создание условий для массового отдыха  и организация обустройства мест массового отдыха на территориях муниципальных образований , в которых введен курортный сбор ( в части финансового обеспечения работ по проектированию , строительству,реконструкции, содержанию , благоустройству и ремонту объектов курортной инфраструктуры).</t>
  </si>
  <si>
    <t>от  21.02.2024г.   № 18.5</t>
  </si>
  <si>
    <t>0910110590</t>
  </si>
  <si>
    <t>Осуществление мероприятий в области гражданской обороны</t>
  </si>
  <si>
    <t>07401ХХХХ</t>
  </si>
  <si>
    <t>Обеспечение функций органов местного самоуправления по реализации переданных полномочий по созданию условий для обеспечения жителей поселения услугами торговли</t>
  </si>
  <si>
    <t>05201S0170</t>
  </si>
  <si>
    <t>от 25.03.20254г. № 19.3</t>
  </si>
  <si>
    <t>0760120470</t>
  </si>
  <si>
    <t>Строительство, реконструкция ( в том числе реконструкция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недвижимости)</t>
  </si>
  <si>
    <t>1030200000</t>
  </si>
  <si>
    <t>1030222500</t>
  </si>
  <si>
    <t>Мероприятия, направленные на развитие познавательной и социальной активности старшего поколения жителей города Туапсе</t>
  </si>
  <si>
    <t>1010160390</t>
  </si>
  <si>
    <t>101016030</t>
  </si>
  <si>
    <t>Поощрение победителей краевого смотра-конкурса " Лучший орган территориального общественного самоуправления"</t>
  </si>
  <si>
    <t>0650400000</t>
  </si>
  <si>
    <t>0650421290</t>
  </si>
  <si>
    <t>Финансовая поддержка муниципальных унитарных предприятий Туапсинского городского поселения, оказывающих услуги в сфере ЖКХ и благоустройства</t>
  </si>
  <si>
    <t>Осуществление мер по предупреждению банкротства и восстановлению платежеспособности</t>
  </si>
  <si>
    <t>от 06.05.2024г. № 20.7</t>
  </si>
  <si>
    <t>0630122615</t>
  </si>
  <si>
    <t>0630162955</t>
  </si>
  <si>
    <t>Поддержка местных инициатив по итогам краевого конкурса</t>
  </si>
  <si>
    <t>Создание условий для массового отдыха и организации обустройства мест массового отдыха на территории Туапсинского городского поселения в части реализации инициативных проектов.</t>
  </si>
  <si>
    <t>Строительство, реконструкция (в том числе реконструкция объектов незавершенного строительства), техническое перевооружение, приобретение объектов спортивной инфраструктуры, общего образования, дошкольного образования, дополнительного образования, отрасли культуры, сооружений инженерной защиты и берегоукрепления</t>
  </si>
  <si>
    <t>Строительство, реконструкция (в том числе реконструкция объектов незавершенного строительства) и техническое перевооружение объектов общественной инфраструктуры муниципального значения, сооружений инженерной защиты и берегоукрепления за счет средств местного бюджета</t>
  </si>
  <si>
    <t>Осуществление мер по предупреждению банкротства и восстановлению платежеспособности муниципальных унитарных предприятий</t>
  </si>
  <si>
    <t>0630160200</t>
  </si>
  <si>
    <t>Приобретение специальной техники (на базе шасси трактора)</t>
  </si>
  <si>
    <t>0330109101</t>
  </si>
  <si>
    <t>Осуществление муниципальными учреждениями отдельных мероприятий по предоставляемым иным целевым субсидиям за счет безвозмездных поступлений (целевых пожертвований) от физических и (или) юридических лиц</t>
  </si>
  <si>
    <t>от10.06.2024г. № 21.6</t>
  </si>
  <si>
    <t xml:space="preserve">от               . № </t>
  </si>
  <si>
    <t>0540320330</t>
  </si>
  <si>
    <t xml:space="preserve">Изьятие для муниципальных нужд путем выкупа земельных участков и жилых помещений </t>
  </si>
  <si>
    <t>0610200000</t>
  </si>
  <si>
    <t>Сокращение количества аварийного жилья</t>
  </si>
  <si>
    <t>0610220330</t>
  </si>
  <si>
    <t>Изъятие для муниципальных нужд путем выкупа жилых помещений в многоквартирных жилых домах, признанных аварийными</t>
  </si>
  <si>
    <t>Создание условий для массового отдыха  и организация обустройства мест массового отдыха на территориях муниципальных образований , в которых введен курортный сбор для финансового обеспечения работ по проектированию , строительству,реконструкции, содержанию , благоустройству и ремонту объектов курортной инфраструктуры.</t>
  </si>
  <si>
    <t>1230320330</t>
  </si>
  <si>
    <t>0330109010</t>
  </si>
  <si>
    <t>1130110490</t>
  </si>
  <si>
    <t>Резервный фонд муниципального образования  Туапсинский район</t>
  </si>
  <si>
    <t>от  06.09.2024г. № 24.4</t>
  </si>
  <si>
    <t xml:space="preserve">от               № </t>
  </si>
  <si>
    <t>06504S2590</t>
  </si>
  <si>
    <t>5010000390</t>
  </si>
  <si>
    <t>Расходы на компенсационные выплаты работникам органов местного самоуправления и другие расходы,связанные с преобразованием муниципальных образований, упразднением поселений в соответствии со статьями 13 и 13.1 Федерального закона № 131-ФЗ</t>
  </si>
  <si>
    <t>5210000390</t>
  </si>
  <si>
    <t>1230100390</t>
  </si>
  <si>
    <t>0340100390</t>
  </si>
  <si>
    <t>Софинансирование расходных обязательств, возникающих при организации водоотведения Туапсинского городского поселения  Туапсинского района Краснодарского края, по финансовому обеспечению исполнения вступившего в законную силу постановления Арбитражного суда Краснодарского края от 25 февраля 2023г.по делу № А32-43766/2021г.</t>
  </si>
  <si>
    <t>5230062590</t>
  </si>
  <si>
    <t xml:space="preserve"> Cредствf резервного фонда администрации Краснодарского края ( иные межбюджетные трансферты)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</si>
  <si>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</si>
  <si>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Утверждено в бюджете </t>
  </si>
  <si>
    <t xml:space="preserve">Исполнено </t>
  </si>
  <si>
    <t xml:space="preserve">% исполеения </t>
  </si>
  <si>
    <t xml:space="preserve">Краснодарского края </t>
  </si>
  <si>
    <t>по  расходам  Туапсинского городского поселения Туапсинского района  по целевым статьям</t>
  </si>
  <si>
    <t>Туапсинский муниципальный округ</t>
  </si>
  <si>
    <t xml:space="preserve">                ИСПОЛНЕНИЕ </t>
  </si>
  <si>
    <t>УТВЕРЖДЕНО</t>
  </si>
  <si>
    <t xml:space="preserve">решением Совета  </t>
  </si>
  <si>
    <t>% исполнения</t>
  </si>
  <si>
    <t xml:space="preserve">          ( тыс.рублей)</t>
  </si>
  <si>
    <t>Приложение  4</t>
  </si>
  <si>
    <t>а</t>
  </si>
  <si>
    <t>Начальник финансового</t>
  </si>
  <si>
    <t xml:space="preserve">управления администрации </t>
  </si>
  <si>
    <t xml:space="preserve">Туапсинского муниципального округа </t>
  </si>
  <si>
    <t>Ю.Н.Кулакова</t>
  </si>
  <si>
    <t xml:space="preserve">                            муниципального образования</t>
  </si>
  <si>
    <t>2                            3</t>
  </si>
  <si>
    <t xml:space="preserve">                                                           на 2024 год </t>
  </si>
  <si>
    <t>ВСЕГО РАСХОДОВ:</t>
  </si>
  <si>
    <t>от 27.06.2025  №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</si>
</sst>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-* #,##0.00&quot;р.&quot;_-;\-* #,##0.00&quot;р.&quot;_-;_-* &quot;-&quot;??&quot;р.&quot;_-;_-@_-"/>
    <numFmt numFmtId="166" formatCode="#,##0.0"/>
  </numFmts>
  <fonts count="50" x14ac:knownFonts="1">
    <font>
      <sz val="10"/>
      <color indexed="64"/>
      <name val="Arial"/>
      <charset val="1"/>
    </font>
    <font>
      <b/>
      <sz val="11"/>
      <color indexed="8"/>
      <name val="Tahoma"/>
      <family val="2"/>
      <charset val="204"/>
    </font>
    <font>
      <sz val="10"/>
      <color indexed="64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8E4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0"/>
      <name val="Arial Cyr"/>
      <charset val="204"/>
    </font>
    <font>
      <sz val="10"/>
      <color indexed="64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B050"/>
      <name val="Times New Roman"/>
      <family val="1"/>
      <charset val="204"/>
    </font>
    <font>
      <b/>
      <i/>
      <sz val="12"/>
      <color rgb="FF00B05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64"/>
      <name val="Arial"/>
      <family val="2"/>
      <charset val="204"/>
    </font>
    <font>
      <sz val="14"/>
      <color indexed="64"/>
      <name val="Times New Roman"/>
      <family val="1"/>
      <charset val="204"/>
    </font>
    <font>
      <sz val="14"/>
      <color theme="4"/>
      <name val="Times New Roman"/>
      <family val="1"/>
      <charset val="204"/>
    </font>
    <font>
      <sz val="12"/>
      <color theme="4"/>
      <name val="Times New Roman"/>
      <family val="1"/>
      <charset val="204"/>
    </font>
    <font>
      <strike/>
      <vertAlign val="subscript"/>
      <sz val="12"/>
      <color indexed="64"/>
      <name val="Cambria"/>
      <family val="1"/>
      <charset val="204"/>
    </font>
    <font>
      <strike/>
      <vertAlign val="subscript"/>
      <sz val="12"/>
      <name val="Cambria"/>
      <family val="1"/>
      <charset val="204"/>
    </font>
    <font>
      <strike/>
      <vertAlign val="subscript"/>
      <sz val="14"/>
      <name val="Cambria"/>
      <family val="1"/>
      <charset val="204"/>
    </font>
    <font>
      <strike/>
      <vertAlign val="subscript"/>
      <sz val="10"/>
      <color indexed="64"/>
      <name val="Cambria"/>
      <family val="1"/>
      <charset val="204"/>
    </font>
    <font>
      <strike/>
      <vertAlign val="subscript"/>
      <sz val="12"/>
      <color indexed="8"/>
      <name val="Cambria"/>
      <family val="1"/>
      <charset val="204"/>
    </font>
    <font>
      <strike/>
      <vertAlign val="subscript"/>
      <sz val="16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i/>
      <sz val="12"/>
      <color indexed="64"/>
      <name val="Times New Roman"/>
      <family val="1"/>
      <charset val="204"/>
    </font>
    <font>
      <i/>
      <sz val="12"/>
      <color rgb="FF00B050"/>
      <name val="Times New Roman"/>
      <family val="1"/>
      <charset val="204"/>
    </font>
    <font>
      <i/>
      <sz val="12"/>
      <color theme="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4" fillId="0" borderId="0"/>
    <xf numFmtId="165" fontId="24" fillId="0" borderId="0" applyFont="0" applyFill="0" applyBorder="0" applyAlignment="0" applyProtection="0"/>
    <xf numFmtId="0" fontId="24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</cellStyleXfs>
  <cellXfs count="468">
    <xf numFmtId="0" fontId="0" fillId="0" borderId="0" xfId="0"/>
    <xf numFmtId="0" fontId="1" fillId="2" borderId="0" xfId="0" applyFont="1" applyFill="1" applyAlignment="1">
      <alignment vertical="center" wrapText="1"/>
    </xf>
    <xf numFmtId="0" fontId="4" fillId="0" borderId="0" xfId="0" applyFont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left" vertical="top"/>
    </xf>
    <xf numFmtId="164" fontId="16" fillId="0" borderId="7" xfId="0" applyNumberFormat="1" applyFont="1" applyBorder="1" applyAlignment="1">
      <alignment vertical="top" wrapText="1"/>
    </xf>
    <xf numFmtId="164" fontId="16" fillId="0" borderId="8" xfId="0" applyNumberFormat="1" applyFont="1" applyBorder="1" applyAlignment="1">
      <alignment vertical="top" wrapText="1"/>
    </xf>
    <xf numFmtId="49" fontId="12" fillId="0" borderId="3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164" fontId="16" fillId="0" borderId="3" xfId="0" applyNumberFormat="1" applyFont="1" applyBorder="1" applyAlignment="1">
      <alignment vertical="top" wrapText="1"/>
    </xf>
    <xf numFmtId="164" fontId="16" fillId="0" borderId="1" xfId="0" applyNumberFormat="1" applyFont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49" fontId="12" fillId="0" borderId="9" xfId="0" applyNumberFormat="1" applyFont="1" applyBorder="1" applyAlignment="1">
      <alignment horizontal="left" vertical="top"/>
    </xf>
    <xf numFmtId="164" fontId="16" fillId="0" borderId="9" xfId="0" applyNumberFormat="1" applyFont="1" applyBorder="1" applyAlignment="1">
      <alignment vertical="top" wrapText="1"/>
    </xf>
    <xf numFmtId="164" fontId="16" fillId="0" borderId="10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164" fontId="16" fillId="0" borderId="7" xfId="0" applyNumberFormat="1" applyFont="1" applyBorder="1" applyAlignment="1">
      <alignment horizontal="right" vertical="top" wrapText="1"/>
    </xf>
    <xf numFmtId="164" fontId="16" fillId="0" borderId="8" xfId="0" applyNumberFormat="1" applyFont="1" applyBorder="1" applyAlignment="1">
      <alignment horizontal="right" vertical="top" wrapText="1"/>
    </xf>
    <xf numFmtId="164" fontId="16" fillId="0" borderId="3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top" wrapText="1"/>
    </xf>
    <xf numFmtId="164" fontId="16" fillId="0" borderId="2" xfId="0" applyNumberFormat="1" applyFont="1" applyBorder="1" applyAlignment="1">
      <alignment horizontal="right" vertical="top" wrapText="1"/>
    </xf>
    <xf numFmtId="49" fontId="10" fillId="0" borderId="9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top" wrapText="1"/>
    </xf>
    <xf numFmtId="49" fontId="11" fillId="0" borderId="14" xfId="0" applyNumberFormat="1" applyFont="1" applyBorder="1" applyAlignment="1">
      <alignment horizontal="left" vertical="top" wrapText="1"/>
    </xf>
    <xf numFmtId="164" fontId="15" fillId="0" borderId="9" xfId="0" applyNumberFormat="1" applyFont="1" applyBorder="1" applyAlignment="1">
      <alignment vertical="top" wrapText="1"/>
    </xf>
    <xf numFmtId="164" fontId="15" fillId="0" borderId="13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vertical="top" wrapText="1"/>
    </xf>
    <xf numFmtId="164" fontId="17" fillId="0" borderId="1" xfId="0" applyNumberFormat="1" applyFont="1" applyBorder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49" fontId="13" fillId="0" borderId="3" xfId="0" applyNumberFormat="1" applyFont="1" applyBorder="1" applyAlignment="1">
      <alignment horizontal="left" vertical="top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top" wrapText="1"/>
    </xf>
    <xf numFmtId="164" fontId="18" fillId="0" borderId="3" xfId="0" applyNumberFormat="1" applyFont="1" applyBorder="1" applyAlignment="1">
      <alignment vertical="top" wrapText="1"/>
    </xf>
    <xf numFmtId="164" fontId="18" fillId="0" borderId="1" xfId="0" applyNumberFormat="1" applyFont="1" applyBorder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164" fontId="19" fillId="0" borderId="3" xfId="0" applyNumberFormat="1" applyFont="1" applyBorder="1" applyAlignment="1">
      <alignment vertical="top" wrapText="1"/>
    </xf>
    <xf numFmtId="49" fontId="4" fillId="0" borderId="5" xfId="0" applyNumberFormat="1" applyFont="1" applyBorder="1" applyAlignment="1">
      <alignment horizontal="left" vertical="top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vertical="top" wrapText="1"/>
    </xf>
    <xf numFmtId="164" fontId="18" fillId="0" borderId="3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vertical="top" wrapText="1"/>
    </xf>
    <xf numFmtId="164" fontId="17" fillId="0" borderId="3" xfId="0" applyNumberFormat="1" applyFont="1" applyBorder="1" applyAlignment="1">
      <alignment horizontal="right" vertical="top" wrapText="1"/>
    </xf>
    <xf numFmtId="164" fontId="17" fillId="0" borderId="1" xfId="0" applyNumberFormat="1" applyFont="1" applyBorder="1" applyAlignment="1">
      <alignment horizontal="right" vertical="top" wrapText="1"/>
    </xf>
    <xf numFmtId="164" fontId="17" fillId="0" borderId="2" xfId="0" applyNumberFormat="1" applyFont="1" applyBorder="1" applyAlignment="1">
      <alignment horizontal="right" vertical="top" wrapText="1"/>
    </xf>
    <xf numFmtId="49" fontId="6" fillId="0" borderId="16" xfId="0" applyNumberFormat="1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4" fillId="0" borderId="17" xfId="0" applyNumberFormat="1" applyFont="1" applyBorder="1" applyAlignment="1">
      <alignment horizontal="left" vertical="top"/>
    </xf>
    <xf numFmtId="164" fontId="20" fillId="0" borderId="3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21" fillId="0" borderId="3" xfId="0" applyNumberFormat="1" applyFont="1" applyBorder="1" applyAlignment="1">
      <alignment vertical="top" wrapText="1"/>
    </xf>
    <xf numFmtId="164" fontId="21" fillId="0" borderId="1" xfId="0" applyNumberFormat="1" applyFont="1" applyBorder="1" applyAlignment="1">
      <alignment vertical="top" wrapText="1"/>
    </xf>
    <xf numFmtId="164" fontId="22" fillId="0" borderId="3" xfId="0" applyNumberFormat="1" applyFont="1" applyBorder="1" applyAlignment="1">
      <alignment vertical="top" wrapText="1"/>
    </xf>
    <xf numFmtId="164" fontId="22" fillId="0" borderId="1" xfId="0" applyNumberFormat="1" applyFont="1" applyBorder="1" applyAlignment="1">
      <alignment vertical="top" wrapText="1"/>
    </xf>
    <xf numFmtId="164" fontId="22" fillId="0" borderId="3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49" fontId="3" fillId="2" borderId="26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164" fontId="18" fillId="0" borderId="29" xfId="0" applyNumberFormat="1" applyFont="1" applyBorder="1" applyAlignment="1">
      <alignment vertical="top" wrapText="1"/>
    </xf>
    <xf numFmtId="164" fontId="17" fillId="0" borderId="29" xfId="0" applyNumberFormat="1" applyFont="1" applyBorder="1" applyAlignment="1">
      <alignment vertical="top" wrapText="1"/>
    </xf>
    <xf numFmtId="164" fontId="17" fillId="0" borderId="29" xfId="0" applyNumberFormat="1" applyFont="1" applyBorder="1" applyAlignment="1">
      <alignment horizontal="right" vertical="top" wrapText="1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164" fontId="23" fillId="0" borderId="0" xfId="0" applyNumberFormat="1" applyFont="1" applyAlignment="1">
      <alignment vertical="top" wrapText="1"/>
    </xf>
    <xf numFmtId="164" fontId="16" fillId="0" borderId="0" xfId="0" applyNumberFormat="1" applyFont="1" applyAlignment="1">
      <alignment vertical="top" wrapText="1"/>
    </xf>
    <xf numFmtId="164" fontId="17" fillId="0" borderId="0" xfId="0" applyNumberFormat="1" applyFont="1" applyAlignment="1">
      <alignment vertical="top" wrapText="1"/>
    </xf>
    <xf numFmtId="164" fontId="18" fillId="0" borderId="0" xfId="0" applyNumberFormat="1" applyFont="1" applyAlignment="1">
      <alignment vertical="top" wrapText="1"/>
    </xf>
    <xf numFmtId="164" fontId="21" fillId="0" borderId="0" xfId="0" applyNumberFormat="1" applyFont="1" applyAlignment="1">
      <alignment vertical="top" wrapText="1"/>
    </xf>
    <xf numFmtId="164" fontId="22" fillId="0" borderId="0" xfId="0" applyNumberFormat="1" applyFont="1" applyAlignment="1">
      <alignment vertical="top" wrapText="1"/>
    </xf>
    <xf numFmtId="164" fontId="16" fillId="0" borderId="0" xfId="0" applyNumberFormat="1" applyFont="1" applyAlignment="1">
      <alignment horizontal="right" vertical="top" wrapText="1"/>
    </xf>
    <xf numFmtId="164" fontId="18" fillId="0" borderId="0" xfId="0" applyNumberFormat="1" applyFont="1" applyAlignment="1">
      <alignment horizontal="right" vertical="top" wrapText="1"/>
    </xf>
    <xf numFmtId="164" fontId="17" fillId="0" borderId="0" xfId="0" applyNumberFormat="1" applyFont="1" applyAlignment="1">
      <alignment horizontal="right" vertical="top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left" vertical="top" wrapText="1"/>
    </xf>
    <xf numFmtId="49" fontId="5" fillId="0" borderId="31" xfId="0" applyNumberFormat="1" applyFont="1" applyBorder="1" applyAlignment="1">
      <alignment horizontal="center" vertical="top" wrapText="1"/>
    </xf>
    <xf numFmtId="49" fontId="6" fillId="0" borderId="31" xfId="0" applyNumberFormat="1" applyFont="1" applyBorder="1" applyAlignment="1">
      <alignment horizontal="center" vertical="top" wrapText="1"/>
    </xf>
    <xf numFmtId="49" fontId="14" fillId="0" borderId="31" xfId="0" applyNumberFormat="1" applyFont="1" applyBorder="1" applyAlignment="1">
      <alignment horizontal="center" vertical="top" wrapText="1"/>
    </xf>
    <xf numFmtId="49" fontId="7" fillId="0" borderId="31" xfId="0" applyNumberFormat="1" applyFont="1" applyBorder="1" applyAlignment="1">
      <alignment horizontal="center" vertical="top" wrapText="1"/>
    </xf>
    <xf numFmtId="49" fontId="6" fillId="0" borderId="26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center" wrapText="1"/>
    </xf>
    <xf numFmtId="164" fontId="19" fillId="0" borderId="29" xfId="0" applyNumberFormat="1" applyFont="1" applyBorder="1" applyAlignment="1">
      <alignment vertical="top" wrapText="1"/>
    </xf>
    <xf numFmtId="164" fontId="21" fillId="0" borderId="29" xfId="0" applyNumberFormat="1" applyFont="1" applyBorder="1" applyAlignment="1">
      <alignment vertical="top" wrapText="1"/>
    </xf>
    <xf numFmtId="164" fontId="22" fillId="0" borderId="29" xfId="0" applyNumberFormat="1" applyFont="1" applyBorder="1" applyAlignment="1">
      <alignment vertical="top" wrapText="1"/>
    </xf>
    <xf numFmtId="164" fontId="20" fillId="0" borderId="29" xfId="0" applyNumberFormat="1" applyFont="1" applyBorder="1" applyAlignment="1">
      <alignment vertical="top" wrapText="1"/>
    </xf>
    <xf numFmtId="164" fontId="17" fillId="0" borderId="33" xfId="0" applyNumberFormat="1" applyFont="1" applyBorder="1" applyAlignment="1">
      <alignment vertical="top" wrapText="1"/>
    </xf>
    <xf numFmtId="164" fontId="16" fillId="0" borderId="29" xfId="0" applyNumberFormat="1" applyFont="1" applyBorder="1" applyAlignment="1">
      <alignment horizontal="right" vertical="top" wrapText="1"/>
    </xf>
    <xf numFmtId="164" fontId="22" fillId="0" borderId="29" xfId="0" applyNumberFormat="1" applyFont="1" applyBorder="1" applyAlignment="1">
      <alignment horizontal="right" vertical="top" wrapText="1"/>
    </xf>
    <xf numFmtId="49" fontId="6" fillId="0" borderId="0" xfId="10" applyNumberFormat="1" applyFont="1" applyAlignment="1">
      <alignment vertical="center" wrapText="1"/>
    </xf>
    <xf numFmtId="49" fontId="6" fillId="0" borderId="0" xfId="4" applyNumberFormat="1" applyFont="1" applyAlignment="1">
      <alignment vertical="center" wrapText="1"/>
    </xf>
    <xf numFmtId="49" fontId="6" fillId="0" borderId="1" xfId="10" applyNumberFormat="1" applyFont="1" applyBorder="1" applyAlignment="1">
      <alignment vertical="center" wrapText="1"/>
    </xf>
    <xf numFmtId="49" fontId="6" fillId="0" borderId="0" xfId="3" applyNumberFormat="1" applyFont="1" applyAlignment="1">
      <alignment vertical="center" wrapText="1"/>
    </xf>
    <xf numFmtId="0" fontId="17" fillId="0" borderId="1" xfId="0" applyFont="1" applyBorder="1" applyAlignment="1">
      <alignment vertical="top" wrapText="1"/>
    </xf>
    <xf numFmtId="49" fontId="6" fillId="0" borderId="1" xfId="4" applyNumberFormat="1" applyFont="1" applyBorder="1" applyAlignment="1">
      <alignment vertical="center" wrapText="1"/>
    </xf>
    <xf numFmtId="49" fontId="6" fillId="0" borderId="0" xfId="0" applyNumberFormat="1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9" fontId="17" fillId="0" borderId="0" xfId="5" applyFont="1" applyFill="1" applyBorder="1" applyAlignment="1">
      <alignment horizontal="justify" vertical="top" wrapText="1"/>
    </xf>
    <xf numFmtId="164" fontId="15" fillId="0" borderId="0" xfId="0" applyNumberFormat="1" applyFont="1" applyAlignment="1">
      <alignment vertical="top" wrapText="1"/>
    </xf>
    <xf numFmtId="4" fontId="5" fillId="2" borderId="0" xfId="0" applyNumberFormat="1" applyFont="1" applyFill="1" applyAlignment="1">
      <alignment horizontal="center" vertical="center" wrapText="1"/>
    </xf>
    <xf numFmtId="164" fontId="19" fillId="0" borderId="1" xfId="0" applyNumberFormat="1" applyFont="1" applyBorder="1" applyAlignment="1">
      <alignment vertical="top" wrapText="1"/>
    </xf>
    <xf numFmtId="49" fontId="4" fillId="0" borderId="34" xfId="0" applyNumberFormat="1" applyFont="1" applyBorder="1" applyAlignment="1">
      <alignment horizontal="left" vertical="top"/>
    </xf>
    <xf numFmtId="164" fontId="17" fillId="0" borderId="34" xfId="0" applyNumberFormat="1" applyFont="1" applyBorder="1" applyAlignment="1">
      <alignment vertical="top" wrapText="1"/>
    </xf>
    <xf numFmtId="164" fontId="17" fillId="0" borderId="35" xfId="0" applyNumberFormat="1" applyFont="1" applyBorder="1" applyAlignment="1">
      <alignment vertical="top" wrapText="1"/>
    </xf>
    <xf numFmtId="164" fontId="0" fillId="0" borderId="3" xfId="0" applyNumberFormat="1" applyBorder="1" applyAlignment="1">
      <alignment vertical="top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49" fontId="6" fillId="2" borderId="0" xfId="0" applyNumberFormat="1" applyFont="1" applyFill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top" wrapText="1"/>
    </xf>
    <xf numFmtId="164" fontId="20" fillId="0" borderId="3" xfId="0" applyNumberFormat="1" applyFont="1" applyBorder="1" applyAlignment="1">
      <alignment horizontal="right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6" fillId="0" borderId="1" xfId="4" applyNumberFormat="1" applyFont="1" applyBorder="1" applyAlignment="1">
      <alignment vertical="center" wrapText="1"/>
    </xf>
    <xf numFmtId="49" fontId="6" fillId="0" borderId="1" xfId="4" applyNumberFormat="1" applyFont="1" applyBorder="1" applyAlignment="1">
      <alignment vertical="center" wrapText="1"/>
    </xf>
    <xf numFmtId="9" fontId="17" fillId="0" borderId="0" xfId="5" applyFont="1" applyFill="1" applyBorder="1" applyAlignment="1">
      <alignment horizontal="justify" vertical="top" wrapText="1"/>
    </xf>
    <xf numFmtId="4" fontId="17" fillId="0" borderId="2" xfId="3" applyNumberFormat="1" applyFont="1" applyBorder="1" applyAlignment="1">
      <alignment vertical="top"/>
    </xf>
    <xf numFmtId="49" fontId="3" fillId="2" borderId="26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49" fontId="17" fillId="0" borderId="2" xfId="0" applyNumberFormat="1" applyFont="1" applyFill="1" applyBorder="1" applyAlignment="1">
      <alignment horizontal="center" vertical="top" wrapText="1"/>
    </xf>
    <xf numFmtId="49" fontId="17" fillId="0" borderId="31" xfId="0" applyNumberFormat="1" applyFont="1" applyFill="1" applyBorder="1" applyAlignment="1">
      <alignment horizontal="center" vertical="top" wrapText="1"/>
    </xf>
    <xf numFmtId="164" fontId="17" fillId="0" borderId="3" xfId="0" applyNumberFormat="1" applyFont="1" applyFill="1" applyBorder="1" applyAlignment="1">
      <alignment vertical="top" wrapText="1"/>
    </xf>
    <xf numFmtId="49" fontId="15" fillId="0" borderId="13" xfId="0" applyNumberFormat="1" applyFont="1" applyFill="1" applyBorder="1" applyAlignment="1">
      <alignment horizontal="left" vertical="top" wrapText="1"/>
    </xf>
    <xf numFmtId="49" fontId="15" fillId="0" borderId="14" xfId="0" applyNumberFormat="1" applyFont="1" applyFill="1" applyBorder="1" applyAlignment="1">
      <alignment horizontal="left" vertical="top" wrapText="1"/>
    </xf>
    <xf numFmtId="49" fontId="15" fillId="0" borderId="11" xfId="0" applyNumberFormat="1" applyFont="1" applyFill="1" applyBorder="1" applyAlignment="1">
      <alignment horizontal="left" vertical="top" wrapText="1"/>
    </xf>
    <xf numFmtId="164" fontId="15" fillId="0" borderId="9" xfId="0" applyNumberFormat="1" applyFont="1" applyFill="1" applyBorder="1" applyAlignment="1">
      <alignment vertical="top" wrapText="1"/>
    </xf>
    <xf numFmtId="164" fontId="15" fillId="0" borderId="13" xfId="0" applyNumberFormat="1" applyFont="1" applyFill="1" applyBorder="1" applyAlignment="1">
      <alignment vertical="top" wrapText="1"/>
    </xf>
    <xf numFmtId="164" fontId="26" fillId="0" borderId="0" xfId="0" applyNumberFormat="1" applyFont="1" applyFill="1" applyAlignment="1">
      <alignment horizontal="left" vertical="top" wrapText="1"/>
    </xf>
    <xf numFmtId="49" fontId="16" fillId="0" borderId="18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vertical="top" wrapText="1"/>
    </xf>
    <xf numFmtId="164" fontId="16" fillId="0" borderId="8" xfId="0" applyNumberFormat="1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49" fontId="16" fillId="0" borderId="31" xfId="0" applyNumberFormat="1" applyFont="1" applyFill="1" applyBorder="1" applyAlignment="1">
      <alignment horizontal="center" vertical="top" wrapText="1"/>
    </xf>
    <xf numFmtId="164" fontId="16" fillId="0" borderId="3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7" fillId="0" borderId="1" xfId="0" applyNumberFormat="1" applyFont="1" applyFill="1" applyBorder="1" applyAlignment="1">
      <alignment vertical="top" wrapText="1"/>
    </xf>
    <xf numFmtId="164" fontId="17" fillId="0" borderId="29" xfId="0" applyNumberFormat="1" applyFont="1" applyFill="1" applyBorder="1" applyAlignment="1">
      <alignment vertical="top" wrapText="1"/>
    </xf>
    <xf numFmtId="49" fontId="18" fillId="0" borderId="1" xfId="0" applyNumberFormat="1" applyFont="1" applyFill="1" applyBorder="1" applyAlignment="1">
      <alignment horizontal="left" vertical="top" wrapText="1"/>
    </xf>
    <xf numFmtId="49" fontId="18" fillId="0" borderId="1" xfId="0" applyNumberFormat="1" applyFont="1" applyFill="1" applyBorder="1" applyAlignment="1">
      <alignment horizontal="center" vertical="top" wrapText="1"/>
    </xf>
    <xf numFmtId="49" fontId="18" fillId="0" borderId="2" xfId="0" applyNumberFormat="1" applyFont="1" applyFill="1" applyBorder="1" applyAlignment="1">
      <alignment horizontal="center" vertical="top" wrapText="1"/>
    </xf>
    <xf numFmtId="49" fontId="18" fillId="0" borderId="31" xfId="0" applyNumberFormat="1" applyFont="1" applyFill="1" applyBorder="1" applyAlignment="1">
      <alignment horizontal="center" vertical="top" wrapText="1"/>
    </xf>
    <xf numFmtId="164" fontId="18" fillId="0" borderId="3" xfId="0" applyNumberFormat="1" applyFont="1" applyFill="1" applyBorder="1" applyAlignment="1">
      <alignment vertical="top" wrapText="1"/>
    </xf>
    <xf numFmtId="164" fontId="18" fillId="0" borderId="1" xfId="0" applyNumberFormat="1" applyFont="1" applyFill="1" applyBorder="1" applyAlignment="1">
      <alignment vertical="top" wrapText="1"/>
    </xf>
    <xf numFmtId="164" fontId="18" fillId="0" borderId="29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49" fontId="17" fillId="0" borderId="1" xfId="4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vertical="top" wrapText="1"/>
    </xf>
    <xf numFmtId="164" fontId="27" fillId="0" borderId="3" xfId="0" applyNumberFormat="1" applyFont="1" applyFill="1" applyBorder="1" applyAlignment="1">
      <alignment vertical="top" wrapText="1"/>
    </xf>
    <xf numFmtId="49" fontId="17" fillId="0" borderId="1" xfId="0" applyNumberFormat="1" applyFont="1" applyFill="1" applyBorder="1" applyAlignment="1">
      <alignment vertical="top" wrapText="1"/>
    </xf>
    <xf numFmtId="49" fontId="17" fillId="0" borderId="0" xfId="3" applyNumberFormat="1" applyFont="1" applyFill="1" applyAlignment="1">
      <alignment vertical="center" wrapText="1"/>
    </xf>
    <xf numFmtId="49" fontId="17" fillId="0" borderId="0" xfId="4" applyNumberFormat="1" applyFont="1" applyFill="1" applyAlignment="1">
      <alignment vertical="center" wrapText="1"/>
    </xf>
    <xf numFmtId="49" fontId="17" fillId="0" borderId="1" xfId="1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left" vertical="top" wrapText="1"/>
    </xf>
    <xf numFmtId="49" fontId="21" fillId="0" borderId="1" xfId="0" applyNumberFormat="1" applyFont="1" applyFill="1" applyBorder="1" applyAlignment="1">
      <alignment horizontal="center" vertical="top" wrapText="1"/>
    </xf>
    <xf numFmtId="49" fontId="21" fillId="0" borderId="2" xfId="0" applyNumberFormat="1" applyFont="1" applyFill="1" applyBorder="1" applyAlignment="1">
      <alignment horizontal="center" vertical="top" wrapText="1"/>
    </xf>
    <xf numFmtId="49" fontId="21" fillId="0" borderId="31" xfId="0" applyNumberFormat="1" applyFont="1" applyFill="1" applyBorder="1" applyAlignment="1">
      <alignment horizontal="center" vertical="top" wrapText="1"/>
    </xf>
    <xf numFmtId="164" fontId="21" fillId="0" borderId="3" xfId="0" applyNumberFormat="1" applyFont="1" applyFill="1" applyBorder="1" applyAlignment="1">
      <alignment vertical="top" wrapText="1"/>
    </xf>
    <xf numFmtId="164" fontId="21" fillId="0" borderId="1" xfId="0" applyNumberFormat="1" applyFont="1" applyFill="1" applyBorder="1" applyAlignment="1">
      <alignment vertical="top" wrapText="1"/>
    </xf>
    <xf numFmtId="164" fontId="21" fillId="0" borderId="29" xfId="0" applyNumberFormat="1" applyFont="1" applyFill="1" applyBorder="1" applyAlignment="1">
      <alignment vertical="top" wrapText="1"/>
    </xf>
    <xf numFmtId="49" fontId="17" fillId="0" borderId="0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top" wrapText="1"/>
    </xf>
    <xf numFmtId="4" fontId="17" fillId="0" borderId="2" xfId="3" applyNumberFormat="1" applyFont="1" applyFill="1" applyBorder="1" applyAlignment="1">
      <alignment vertical="top"/>
    </xf>
    <xf numFmtId="49" fontId="17" fillId="0" borderId="6" xfId="0" applyNumberFormat="1" applyFont="1" applyFill="1" applyBorder="1" applyAlignment="1">
      <alignment horizontal="left" vertical="top" wrapText="1"/>
    </xf>
    <xf numFmtId="49" fontId="17" fillId="0" borderId="6" xfId="0" applyNumberFormat="1" applyFont="1" applyFill="1" applyBorder="1" applyAlignment="1">
      <alignment horizontal="center" vertical="top" wrapText="1"/>
    </xf>
    <xf numFmtId="49" fontId="17" fillId="0" borderId="0" xfId="0" applyNumberFormat="1" applyFont="1" applyFill="1" applyAlignment="1">
      <alignment horizontal="center" vertical="top" wrapText="1"/>
    </xf>
    <xf numFmtId="164" fontId="17" fillId="0" borderId="34" xfId="0" applyNumberFormat="1" applyFont="1" applyFill="1" applyBorder="1" applyAlignment="1">
      <alignment vertical="top" wrapText="1"/>
    </xf>
    <xf numFmtId="164" fontId="17" fillId="0" borderId="35" xfId="0" applyNumberFormat="1" applyFont="1" applyFill="1" applyBorder="1" applyAlignment="1">
      <alignment vertical="top" wrapText="1"/>
    </xf>
    <xf numFmtId="49" fontId="16" fillId="0" borderId="11" xfId="0" applyNumberFormat="1" applyFont="1" applyFill="1" applyBorder="1" applyAlignment="1">
      <alignment horizontal="left" vertical="top" wrapText="1"/>
    </xf>
    <xf numFmtId="164" fontId="16" fillId="0" borderId="9" xfId="0" applyNumberFormat="1" applyFont="1" applyFill="1" applyBorder="1" applyAlignment="1">
      <alignment vertical="top" wrapText="1"/>
    </xf>
    <xf numFmtId="164" fontId="16" fillId="0" borderId="10" xfId="0" applyNumberFormat="1" applyFont="1" applyFill="1" applyBorder="1" applyAlignment="1">
      <alignment vertical="top" wrapText="1"/>
    </xf>
    <xf numFmtId="49" fontId="16" fillId="0" borderId="8" xfId="0" applyNumberFormat="1" applyFont="1" applyFill="1" applyBorder="1" applyAlignment="1">
      <alignment horizontal="left" vertical="top" wrapText="1"/>
    </xf>
    <xf numFmtId="49" fontId="16" fillId="0" borderId="8" xfId="0" applyNumberFormat="1" applyFont="1" applyFill="1" applyBorder="1" applyAlignment="1">
      <alignment horizontal="center" vertical="top" wrapText="1"/>
    </xf>
    <xf numFmtId="49" fontId="16" fillId="0" borderId="12" xfId="0" applyNumberFormat="1" applyFont="1" applyFill="1" applyBorder="1" applyAlignment="1">
      <alignment horizontal="center" vertical="top" wrapText="1"/>
    </xf>
    <xf numFmtId="49" fontId="16" fillId="0" borderId="18" xfId="0" applyNumberFormat="1" applyFont="1" applyFill="1" applyBorder="1" applyAlignment="1">
      <alignment horizontal="center" vertical="top" wrapText="1"/>
    </xf>
    <xf numFmtId="164" fontId="16" fillId="0" borderId="7" xfId="0" applyNumberFormat="1" applyFont="1" applyFill="1" applyBorder="1" applyAlignment="1">
      <alignment horizontal="right" vertical="top" wrapText="1"/>
    </xf>
    <xf numFmtId="164" fontId="16" fillId="0" borderId="8" xfId="0" applyNumberFormat="1" applyFont="1" applyFill="1" applyBorder="1" applyAlignment="1">
      <alignment horizontal="right" vertical="top" wrapText="1"/>
    </xf>
    <xf numFmtId="164" fontId="18" fillId="0" borderId="3" xfId="0" applyNumberFormat="1" applyFont="1" applyFill="1" applyBorder="1" applyAlignment="1">
      <alignment horizontal="right" vertical="top" wrapText="1"/>
    </xf>
    <xf numFmtId="164" fontId="18" fillId="0" borderId="1" xfId="0" applyNumberFormat="1" applyFont="1" applyFill="1" applyBorder="1" applyAlignment="1">
      <alignment horizontal="right" vertical="top" wrapText="1"/>
    </xf>
    <xf numFmtId="164" fontId="17" fillId="0" borderId="3" xfId="0" applyNumberFormat="1" applyFont="1" applyFill="1" applyBorder="1" applyAlignment="1">
      <alignment horizontal="right" vertical="top" wrapText="1"/>
    </xf>
    <xf numFmtId="164" fontId="17" fillId="0" borderId="1" xfId="0" applyNumberFormat="1" applyFont="1" applyFill="1" applyBorder="1" applyAlignment="1">
      <alignment horizontal="right" vertical="top" wrapText="1"/>
    </xf>
    <xf numFmtId="164" fontId="17" fillId="0" borderId="29" xfId="0" applyNumberFormat="1" applyFont="1" applyFill="1" applyBorder="1" applyAlignment="1">
      <alignment horizontal="right" vertical="top" wrapText="1"/>
    </xf>
    <xf numFmtId="164" fontId="16" fillId="0" borderId="3" xfId="0" applyNumberFormat="1" applyFont="1" applyFill="1" applyBorder="1" applyAlignment="1">
      <alignment horizontal="right" vertical="top" wrapText="1"/>
    </xf>
    <xf numFmtId="164" fontId="16" fillId="0" borderId="1" xfId="0" applyNumberFormat="1" applyFont="1" applyFill="1" applyBorder="1" applyAlignment="1">
      <alignment horizontal="right" vertical="top" wrapText="1"/>
    </xf>
    <xf numFmtId="2" fontId="17" fillId="0" borderId="1" xfId="0" applyNumberFormat="1" applyFont="1" applyFill="1" applyBorder="1" applyAlignment="1">
      <alignment horizontal="left" vertical="top" wrapText="1"/>
    </xf>
    <xf numFmtId="164" fontId="16" fillId="0" borderId="29" xfId="0" applyNumberFormat="1" applyFont="1" applyFill="1" applyBorder="1" applyAlignment="1">
      <alignment horizontal="right" vertical="top" wrapText="1"/>
    </xf>
    <xf numFmtId="164" fontId="16" fillId="0" borderId="2" xfId="0" applyNumberFormat="1" applyFont="1" applyFill="1" applyBorder="1" applyAlignment="1">
      <alignment horizontal="right" vertical="top" wrapText="1"/>
    </xf>
    <xf numFmtId="164" fontId="17" fillId="0" borderId="2" xfId="0" applyNumberFormat="1" applyFont="1" applyFill="1" applyBorder="1" applyAlignment="1">
      <alignment horizontal="right" vertical="top" wrapText="1"/>
    </xf>
    <xf numFmtId="49" fontId="17" fillId="0" borderId="16" xfId="0" applyNumberFormat="1" applyFont="1" applyFill="1" applyBorder="1" applyAlignment="1">
      <alignment horizontal="left" vertical="top" wrapText="1"/>
    </xf>
    <xf numFmtId="49" fontId="17" fillId="0" borderId="16" xfId="0" applyNumberFormat="1" applyFont="1" applyFill="1" applyBorder="1" applyAlignment="1">
      <alignment horizontal="center" vertical="top" wrapText="1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top" wrapText="1"/>
    </xf>
    <xf numFmtId="49" fontId="16" fillId="0" borderId="18" xfId="0" applyNumberFormat="1" applyFont="1" applyFill="1" applyBorder="1" applyAlignment="1">
      <alignment horizontal="left" vertical="top" wrapText="1"/>
    </xf>
    <xf numFmtId="49" fontId="16" fillId="0" borderId="11" xfId="0" applyNumberFormat="1" applyFont="1" applyFill="1" applyBorder="1" applyAlignment="1">
      <alignment horizontal="left" vertical="top" wrapText="1"/>
    </xf>
    <xf numFmtId="0" fontId="27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64" fontId="20" fillId="0" borderId="3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top" wrapText="1"/>
    </xf>
    <xf numFmtId="49" fontId="16" fillId="0" borderId="18" xfId="0" applyNumberFormat="1" applyFont="1" applyFill="1" applyBorder="1" applyAlignment="1">
      <alignment horizontal="left" vertical="top" wrapText="1"/>
    </xf>
    <xf numFmtId="49" fontId="16" fillId="0" borderId="11" xfId="0" applyNumberFormat="1" applyFont="1" applyFill="1" applyBorder="1" applyAlignment="1">
      <alignment horizontal="left" vertical="top" wrapText="1"/>
    </xf>
    <xf numFmtId="0" fontId="27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top" wrapText="1"/>
    </xf>
    <xf numFmtId="49" fontId="16" fillId="0" borderId="18" xfId="0" applyNumberFormat="1" applyFont="1" applyFill="1" applyBorder="1" applyAlignment="1">
      <alignment horizontal="left" vertical="top" wrapText="1"/>
    </xf>
    <xf numFmtId="49" fontId="16" fillId="0" borderId="11" xfId="0" applyNumberFormat="1" applyFont="1" applyFill="1" applyBorder="1" applyAlignment="1">
      <alignment horizontal="left" vertical="top" wrapText="1"/>
    </xf>
    <xf numFmtId="164" fontId="28" fillId="0" borderId="3" xfId="0" applyNumberFormat="1" applyFont="1" applyFill="1" applyBorder="1" applyAlignment="1">
      <alignment vertical="top" wrapText="1"/>
    </xf>
    <xf numFmtId="164" fontId="29" fillId="0" borderId="3" xfId="0" applyNumberFormat="1" applyFont="1" applyFill="1" applyBorder="1" applyAlignment="1">
      <alignment vertical="top" wrapText="1"/>
    </xf>
    <xf numFmtId="164" fontId="22" fillId="0" borderId="3" xfId="0" applyNumberFormat="1" applyFont="1" applyFill="1" applyBorder="1" applyAlignment="1">
      <alignment vertical="top" wrapText="1"/>
    </xf>
    <xf numFmtId="164" fontId="23" fillId="0" borderId="9" xfId="0" applyNumberFormat="1" applyFont="1" applyFill="1" applyBorder="1" applyAlignment="1">
      <alignment vertical="top" wrapText="1"/>
    </xf>
    <xf numFmtId="164" fontId="30" fillId="0" borderId="3" xfId="0" applyNumberFormat="1" applyFont="1" applyFill="1" applyBorder="1" applyAlignment="1">
      <alignment vertical="top" wrapText="1"/>
    </xf>
    <xf numFmtId="164" fontId="0" fillId="0" borderId="0" xfId="0" applyNumberFormat="1"/>
    <xf numFmtId="164" fontId="18" fillId="0" borderId="36" xfId="0" applyNumberFormat="1" applyFont="1" applyFill="1" applyBorder="1" applyAlignment="1">
      <alignment vertical="top" wrapText="1"/>
    </xf>
    <xf numFmtId="164" fontId="18" fillId="0" borderId="29" xfId="0" applyNumberFormat="1" applyFont="1" applyFill="1" applyBorder="1" applyAlignment="1">
      <alignment horizontal="right" vertical="top" wrapText="1"/>
    </xf>
    <xf numFmtId="164" fontId="28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>
      <alignment horizontal="center" vertical="top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top" wrapText="1"/>
    </xf>
    <xf numFmtId="49" fontId="16" fillId="0" borderId="18" xfId="0" applyNumberFormat="1" applyFont="1" applyFill="1" applyBorder="1" applyAlignment="1">
      <alignment horizontal="left" vertical="top" wrapText="1"/>
    </xf>
    <xf numFmtId="49" fontId="16" fillId="0" borderId="11" xfId="0" applyNumberFormat="1" applyFont="1" applyFill="1" applyBorder="1" applyAlignment="1">
      <alignment horizontal="left" vertical="top" wrapText="1"/>
    </xf>
    <xf numFmtId="49" fontId="17" fillId="0" borderId="0" xfId="0" applyNumberFormat="1" applyFont="1" applyFill="1" applyBorder="1" applyAlignment="1">
      <alignment vertical="top" wrapText="1"/>
    </xf>
    <xf numFmtId="164" fontId="17" fillId="0" borderId="31" xfId="0" applyNumberFormat="1" applyFont="1" applyFill="1" applyBorder="1" applyAlignment="1">
      <alignment vertical="top" wrapText="1"/>
    </xf>
    <xf numFmtId="4" fontId="17" fillId="0" borderId="31" xfId="3" applyNumberFormat="1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top" wrapText="1"/>
    </xf>
    <xf numFmtId="49" fontId="16" fillId="0" borderId="18" xfId="0" applyNumberFormat="1" applyFont="1" applyFill="1" applyBorder="1" applyAlignment="1">
      <alignment horizontal="left" vertical="top" wrapText="1"/>
    </xf>
    <xf numFmtId="49" fontId="16" fillId="0" borderId="11" xfId="0" applyNumberFormat="1" applyFont="1" applyFill="1" applyBorder="1" applyAlignment="1">
      <alignment horizontal="left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164" fontId="17" fillId="0" borderId="31" xfId="0" applyNumberFormat="1" applyFont="1" applyFill="1" applyBorder="1" applyAlignment="1">
      <alignment horizontal="right" vertical="top" wrapText="1"/>
    </xf>
    <xf numFmtId="49" fontId="17" fillId="0" borderId="0" xfId="5" applyNumberFormat="1" applyFont="1" applyFill="1" applyBorder="1" applyAlignment="1">
      <alignment horizontal="justify" vertical="top" wrapText="1"/>
    </xf>
    <xf numFmtId="0" fontId="25" fillId="0" borderId="0" xfId="0" applyFont="1"/>
    <xf numFmtId="164" fontId="17" fillId="0" borderId="36" xfId="0" applyNumberFormat="1" applyFont="1" applyFill="1" applyBorder="1" applyAlignment="1">
      <alignment vertical="top" wrapText="1"/>
    </xf>
    <xf numFmtId="164" fontId="17" fillId="0" borderId="2" xfId="0" applyNumberFormat="1" applyFont="1" applyFill="1" applyBorder="1" applyAlignment="1">
      <alignment vertical="top" wrapText="1"/>
    </xf>
    <xf numFmtId="164" fontId="17" fillId="0" borderId="36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164" fontId="26" fillId="0" borderId="1" xfId="0" applyNumberFormat="1" applyFont="1" applyFill="1" applyBorder="1" applyAlignment="1">
      <alignment horizontal="left" vertical="top" wrapText="1"/>
    </xf>
    <xf numFmtId="164" fontId="26" fillId="0" borderId="1" xfId="0" applyNumberFormat="1" applyFont="1" applyFill="1" applyBorder="1" applyAlignment="1">
      <alignment horizontal="right" vertical="top" wrapText="1"/>
    </xf>
    <xf numFmtId="164" fontId="6" fillId="0" borderId="22" xfId="0" applyNumberFormat="1" applyFont="1" applyBorder="1" applyAlignment="1">
      <alignment vertical="top" wrapText="1"/>
    </xf>
    <xf numFmtId="164" fontId="26" fillId="0" borderId="2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31" fillId="2" borderId="6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vertical="top" wrapText="1"/>
    </xf>
    <xf numFmtId="0" fontId="32" fillId="0" borderId="4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164" fontId="15" fillId="0" borderId="0" xfId="0" applyNumberFormat="1" applyFont="1" applyFill="1" applyBorder="1" applyAlignment="1">
      <alignment vertical="top" wrapText="1"/>
    </xf>
    <xf numFmtId="164" fontId="26" fillId="0" borderId="0" xfId="0" applyNumberFormat="1" applyFont="1" applyFill="1" applyBorder="1" applyAlignment="1">
      <alignment horizontal="right" vertical="top" wrapText="1"/>
    </xf>
    <xf numFmtId="164" fontId="26" fillId="0" borderId="0" xfId="0" applyNumberFormat="1" applyFont="1" applyFill="1" applyBorder="1" applyAlignment="1">
      <alignment horizontal="left" vertical="top" wrapText="1"/>
    </xf>
    <xf numFmtId="164" fontId="22" fillId="0" borderId="0" xfId="0" applyNumberFormat="1" applyFont="1" applyFill="1" applyBorder="1" applyAlignment="1">
      <alignment vertical="top" wrapText="1"/>
    </xf>
    <xf numFmtId="164" fontId="26" fillId="0" borderId="22" xfId="0" applyNumberFormat="1" applyFont="1" applyFill="1" applyBorder="1" applyAlignment="1">
      <alignment horizontal="right" vertical="top" wrapText="1"/>
    </xf>
    <xf numFmtId="164" fontId="34" fillId="0" borderId="0" xfId="0" applyNumberFormat="1" applyFont="1" applyFill="1" applyBorder="1" applyAlignment="1">
      <alignment horizontal="right" vertical="top" wrapText="1"/>
    </xf>
    <xf numFmtId="164" fontId="35" fillId="0" borderId="0" xfId="0" applyNumberFormat="1" applyFont="1" applyFill="1" applyBorder="1" applyAlignment="1">
      <alignment vertical="top" wrapText="1"/>
    </xf>
    <xf numFmtId="164" fontId="17" fillId="3" borderId="0" xfId="0" applyNumberFormat="1" applyFont="1" applyFill="1" applyBorder="1" applyAlignment="1">
      <alignment vertical="top" wrapText="1"/>
    </xf>
    <xf numFmtId="164" fontId="21" fillId="3" borderId="0" xfId="0" applyNumberFormat="1" applyFont="1" applyFill="1" applyBorder="1" applyAlignment="1">
      <alignment vertical="top" wrapText="1"/>
    </xf>
    <xf numFmtId="164" fontId="26" fillId="3" borderId="0" xfId="0" applyNumberFormat="1" applyFont="1" applyFill="1" applyBorder="1" applyAlignment="1">
      <alignment horizontal="right" vertical="top" wrapText="1"/>
    </xf>
    <xf numFmtId="164" fontId="22" fillId="0" borderId="0" xfId="0" applyNumberFormat="1" applyFont="1" applyFill="1" applyBorder="1" applyAlignment="1">
      <alignment horizontal="right" vertical="top" wrapText="1"/>
    </xf>
    <xf numFmtId="164" fontId="17" fillId="3" borderId="22" xfId="0" applyNumberFormat="1" applyFont="1" applyFill="1" applyBorder="1" applyAlignment="1">
      <alignment vertical="top" wrapText="1"/>
    </xf>
    <xf numFmtId="164" fontId="17" fillId="0" borderId="0" xfId="0" applyNumberFormat="1" applyFont="1" applyFill="1" applyBorder="1" applyAlignment="1">
      <alignment horizontal="right" vertical="top" wrapText="1"/>
    </xf>
    <xf numFmtId="0" fontId="0" fillId="0" borderId="12" xfId="0" applyBorder="1"/>
    <xf numFmtId="49" fontId="6" fillId="0" borderId="2" xfId="0" applyNumberFormat="1" applyFont="1" applyBorder="1" applyAlignment="1">
      <alignment horizontal="left" vertical="top" wrapText="1"/>
    </xf>
    <xf numFmtId="164" fontId="21" fillId="0" borderId="36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17" fillId="0" borderId="0" xfId="0" applyFont="1" applyFill="1" applyBorder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center" vertical="top" wrapText="1"/>
    </xf>
    <xf numFmtId="164" fontId="38" fillId="0" borderId="0" xfId="0" applyNumberFormat="1" applyFont="1" applyFill="1" applyBorder="1" applyAlignment="1">
      <alignment horizontal="right" vertical="top" wrapText="1"/>
    </xf>
    <xf numFmtId="49" fontId="36" fillId="0" borderId="0" xfId="0" applyNumberFormat="1" applyFont="1" applyBorder="1" applyAlignment="1">
      <alignment horizontal="left" vertical="top"/>
    </xf>
    <xf numFmtId="0" fontId="37" fillId="0" borderId="0" xfId="0" applyFont="1" applyFill="1" applyBorder="1" applyAlignment="1">
      <alignment horizontal="center" vertical="top" wrapText="1"/>
    </xf>
    <xf numFmtId="49" fontId="37" fillId="0" borderId="0" xfId="0" applyNumberFormat="1" applyFont="1" applyFill="1" applyBorder="1" applyAlignment="1">
      <alignment horizontal="center" vertical="top" wrapText="1"/>
    </xf>
    <xf numFmtId="164" fontId="37" fillId="0" borderId="0" xfId="0" applyNumberFormat="1" applyFont="1" applyFill="1" applyBorder="1" applyAlignment="1">
      <alignment horizontal="right" vertical="top" wrapText="1"/>
    </xf>
    <xf numFmtId="0" fontId="39" fillId="0" borderId="0" xfId="0" applyFont="1" applyBorder="1"/>
    <xf numFmtId="166" fontId="40" fillId="0" borderId="0" xfId="0" applyNumberFormat="1" applyFont="1" applyBorder="1" applyAlignment="1">
      <alignment vertical="top" wrapText="1"/>
    </xf>
    <xf numFmtId="0" fontId="0" fillId="0" borderId="0" xfId="0" applyBorder="1"/>
    <xf numFmtId="49" fontId="4" fillId="0" borderId="0" xfId="0" applyNumberFormat="1" applyFont="1" applyBorder="1" applyAlignment="1">
      <alignment horizontal="left" vertical="top"/>
    </xf>
    <xf numFmtId="0" fontId="17" fillId="0" borderId="0" xfId="0" applyFont="1" applyFill="1" applyBorder="1" applyAlignment="1">
      <alignment vertical="top" wrapText="1"/>
    </xf>
    <xf numFmtId="166" fontId="6" fillId="0" borderId="0" xfId="0" applyNumberFormat="1" applyFont="1" applyBorder="1" applyAlignment="1">
      <alignment vertical="top" wrapText="1"/>
    </xf>
    <xf numFmtId="49" fontId="17" fillId="0" borderId="18" xfId="0" applyNumberFormat="1" applyFont="1" applyFill="1" applyBorder="1" applyAlignment="1">
      <alignment horizontal="center" vertical="top" wrapText="1"/>
    </xf>
    <xf numFmtId="164" fontId="26" fillId="0" borderId="18" xfId="0" applyNumberFormat="1" applyFont="1" applyFill="1" applyBorder="1" applyAlignment="1">
      <alignment horizontal="right" vertical="top" wrapText="1"/>
    </xf>
    <xf numFmtId="0" fontId="0" fillId="0" borderId="18" xfId="0" applyBorder="1"/>
    <xf numFmtId="49" fontId="41" fillId="0" borderId="0" xfId="0" applyNumberFormat="1" applyFont="1" applyFill="1" applyBorder="1" applyAlignment="1">
      <alignment horizontal="left" vertical="top" wrapText="1"/>
    </xf>
    <xf numFmtId="49" fontId="33" fillId="0" borderId="9" xfId="0" applyNumberFormat="1" applyFont="1" applyBorder="1" applyAlignment="1">
      <alignment horizontal="left" vertical="top"/>
    </xf>
    <xf numFmtId="49" fontId="26" fillId="0" borderId="13" xfId="0" applyNumberFormat="1" applyFont="1" applyFill="1" applyBorder="1" applyAlignment="1">
      <alignment horizontal="left" vertical="top" wrapText="1"/>
    </xf>
    <xf numFmtId="49" fontId="26" fillId="0" borderId="14" xfId="0" applyNumberFormat="1" applyFont="1" applyFill="1" applyBorder="1" applyAlignment="1">
      <alignment horizontal="left" vertical="top" wrapText="1"/>
    </xf>
    <xf numFmtId="49" fontId="26" fillId="0" borderId="11" xfId="0" applyNumberFormat="1" applyFont="1" applyFill="1" applyBorder="1" applyAlignment="1">
      <alignment horizontal="left" vertical="top" wrapText="1"/>
    </xf>
    <xf numFmtId="164" fontId="26" fillId="0" borderId="9" xfId="0" applyNumberFormat="1" applyFont="1" applyFill="1" applyBorder="1" applyAlignment="1">
      <alignment vertical="top" wrapText="1"/>
    </xf>
    <xf numFmtId="164" fontId="26" fillId="0" borderId="13" xfId="0" applyNumberFormat="1" applyFont="1" applyFill="1" applyBorder="1" applyAlignment="1">
      <alignment vertical="top" wrapText="1"/>
    </xf>
    <xf numFmtId="164" fontId="42" fillId="0" borderId="9" xfId="0" applyNumberFormat="1" applyFont="1" applyFill="1" applyBorder="1" applyAlignment="1">
      <alignment vertical="top" wrapText="1"/>
    </xf>
    <xf numFmtId="164" fontId="26" fillId="0" borderId="14" xfId="0" applyNumberFormat="1" applyFont="1" applyFill="1" applyBorder="1" applyAlignment="1">
      <alignment vertical="top" wrapText="1"/>
    </xf>
    <xf numFmtId="164" fontId="26" fillId="0" borderId="0" xfId="0" applyNumberFormat="1" applyFont="1" applyFill="1" applyBorder="1" applyAlignment="1">
      <alignment vertical="top" wrapText="1"/>
    </xf>
    <xf numFmtId="49" fontId="4" fillId="0" borderId="7" xfId="0" applyNumberFormat="1" applyFont="1" applyBorder="1" applyAlignment="1">
      <alignment horizontal="left" vertical="top"/>
    </xf>
    <xf numFmtId="49" fontId="17" fillId="0" borderId="18" xfId="0" applyNumberFormat="1" applyFont="1" applyFill="1" applyBorder="1" applyAlignment="1">
      <alignment horizontal="left" vertical="top" wrapText="1"/>
    </xf>
    <xf numFmtId="164" fontId="17" fillId="0" borderId="7" xfId="0" applyNumberFormat="1" applyFont="1" applyFill="1" applyBorder="1" applyAlignment="1">
      <alignment vertical="top" wrapText="1"/>
    </xf>
    <xf numFmtId="164" fontId="17" fillId="0" borderId="8" xfId="0" applyNumberFormat="1" applyFont="1" applyFill="1" applyBorder="1" applyAlignment="1">
      <alignment vertical="top" wrapText="1"/>
    </xf>
    <xf numFmtId="164" fontId="17" fillId="0" borderId="37" xfId="0" applyNumberFormat="1" applyFont="1" applyFill="1" applyBorder="1" applyAlignment="1">
      <alignment vertical="top" wrapText="1"/>
    </xf>
    <xf numFmtId="0" fontId="25" fillId="0" borderId="22" xfId="0" applyFont="1" applyBorder="1"/>
    <xf numFmtId="49" fontId="43" fillId="0" borderId="3" xfId="0" applyNumberFormat="1" applyFont="1" applyBorder="1" applyAlignment="1">
      <alignment horizontal="left" vertical="top"/>
    </xf>
    <xf numFmtId="164" fontId="21" fillId="0" borderId="0" xfId="0" applyNumberFormat="1" applyFont="1" applyFill="1" applyBorder="1" applyAlignment="1">
      <alignment vertical="top" wrapText="1"/>
    </xf>
    <xf numFmtId="164" fontId="44" fillId="0" borderId="0" xfId="0" applyNumberFormat="1" applyFont="1" applyFill="1" applyBorder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164" fontId="44" fillId="0" borderId="3" xfId="0" applyNumberFormat="1" applyFont="1" applyFill="1" applyBorder="1" applyAlignment="1">
      <alignment vertical="top" wrapText="1"/>
    </xf>
    <xf numFmtId="164" fontId="45" fillId="0" borderId="0" xfId="0" applyNumberFormat="1" applyFont="1" applyFill="1" applyBorder="1" applyAlignment="1">
      <alignment vertical="top" wrapText="1"/>
    </xf>
    <xf numFmtId="164" fontId="32" fillId="0" borderId="36" xfId="0" applyNumberFormat="1" applyFont="1" applyFill="1" applyBorder="1" applyAlignment="1">
      <alignment vertical="top" wrapText="1"/>
    </xf>
    <xf numFmtId="164" fontId="32" fillId="0" borderId="0" xfId="0" applyNumberFormat="1" applyFont="1" applyFill="1" applyBorder="1" applyAlignment="1">
      <alignment vertical="top" wrapText="1"/>
    </xf>
    <xf numFmtId="164" fontId="46" fillId="0" borderId="0" xfId="0" applyNumberFormat="1" applyFont="1" applyFill="1" applyBorder="1" applyAlignment="1">
      <alignment vertical="top" wrapText="1"/>
    </xf>
    <xf numFmtId="164" fontId="7" fillId="0" borderId="22" xfId="0" applyNumberFormat="1" applyFont="1" applyBorder="1" applyAlignment="1">
      <alignment vertical="top" wrapText="1"/>
    </xf>
    <xf numFmtId="164" fontId="21" fillId="0" borderId="22" xfId="0" applyNumberFormat="1" applyFont="1" applyFill="1" applyBorder="1" applyAlignment="1">
      <alignment vertical="top" wrapText="1"/>
    </xf>
    <xf numFmtId="49" fontId="4" fillId="0" borderId="9" xfId="0" applyNumberFormat="1" applyFont="1" applyBorder="1" applyAlignment="1">
      <alignment horizontal="left" vertical="top"/>
    </xf>
    <xf numFmtId="49" fontId="17" fillId="0" borderId="11" xfId="0" applyNumberFormat="1" applyFont="1" applyFill="1" applyBorder="1" applyAlignment="1">
      <alignment horizontal="left" vertical="top" wrapText="1"/>
    </xf>
    <xf numFmtId="164" fontId="17" fillId="0" borderId="9" xfId="0" applyNumberFormat="1" applyFont="1" applyFill="1" applyBorder="1" applyAlignment="1">
      <alignment vertical="top" wrapText="1"/>
    </xf>
    <xf numFmtId="164" fontId="17" fillId="0" borderId="10" xfId="0" applyNumberFormat="1" applyFont="1" applyFill="1" applyBorder="1" applyAlignment="1">
      <alignment vertical="top" wrapText="1"/>
    </xf>
    <xf numFmtId="49" fontId="17" fillId="0" borderId="8" xfId="0" applyNumberFormat="1" applyFont="1" applyFill="1" applyBorder="1" applyAlignment="1">
      <alignment horizontal="left" vertical="top" wrapText="1"/>
    </xf>
    <xf numFmtId="49" fontId="17" fillId="0" borderId="8" xfId="0" applyNumberFormat="1" applyFont="1" applyFill="1" applyBorder="1" applyAlignment="1">
      <alignment horizontal="center" vertical="top" wrapText="1"/>
    </xf>
    <xf numFmtId="49" fontId="17" fillId="0" borderId="12" xfId="0" applyNumberFormat="1" applyFont="1" applyFill="1" applyBorder="1" applyAlignment="1">
      <alignment horizontal="center" vertical="top" wrapText="1"/>
    </xf>
    <xf numFmtId="164" fontId="17" fillId="0" borderId="7" xfId="0" applyNumberFormat="1" applyFont="1" applyFill="1" applyBorder="1" applyAlignment="1">
      <alignment horizontal="right" vertical="top" wrapText="1"/>
    </xf>
    <xf numFmtId="164" fontId="17" fillId="0" borderId="8" xfId="0" applyNumberFormat="1" applyFont="1" applyFill="1" applyBorder="1" applyAlignment="1">
      <alignment horizontal="right" vertical="top" wrapText="1"/>
    </xf>
    <xf numFmtId="164" fontId="21" fillId="0" borderId="3" xfId="0" applyNumberFormat="1" applyFont="1" applyFill="1" applyBorder="1" applyAlignment="1">
      <alignment horizontal="right" vertical="top" wrapText="1"/>
    </xf>
    <xf numFmtId="164" fontId="21" fillId="0" borderId="1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Fill="1" applyBorder="1" applyAlignment="1">
      <alignment horizontal="right" vertical="top" wrapText="1"/>
    </xf>
    <xf numFmtId="164" fontId="21" fillId="0" borderId="29" xfId="0" applyNumberFormat="1" applyFont="1" applyFill="1" applyBorder="1" applyAlignment="1">
      <alignment horizontal="right" vertical="top" wrapText="1"/>
    </xf>
    <xf numFmtId="0" fontId="25" fillId="0" borderId="18" xfId="0" applyFont="1" applyBorder="1"/>
    <xf numFmtId="0" fontId="8" fillId="2" borderId="1" xfId="0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right" vertical="top" wrapText="1"/>
    </xf>
    <xf numFmtId="164" fontId="26" fillId="0" borderId="36" xfId="0" applyNumberFormat="1" applyFont="1" applyFill="1" applyBorder="1" applyAlignment="1">
      <alignment vertical="top" wrapText="1"/>
    </xf>
    <xf numFmtId="164" fontId="26" fillId="0" borderId="2" xfId="0" applyNumberFormat="1" applyFont="1" applyFill="1" applyBorder="1" applyAlignment="1">
      <alignment vertical="top" wrapText="1"/>
    </xf>
    <xf numFmtId="164" fontId="47" fillId="0" borderId="36" xfId="0" applyNumberFormat="1" applyFont="1" applyFill="1" applyBorder="1" applyAlignment="1">
      <alignment vertical="top" wrapText="1"/>
    </xf>
    <xf numFmtId="164" fontId="48" fillId="0" borderId="36" xfId="0" applyNumberFormat="1" applyFont="1" applyFill="1" applyBorder="1" applyAlignment="1">
      <alignment vertical="top" wrapText="1"/>
    </xf>
    <xf numFmtId="164" fontId="49" fillId="0" borderId="0" xfId="0" applyNumberFormat="1" applyFont="1" applyFill="1" applyBorder="1" applyAlignment="1">
      <alignment vertical="top" wrapText="1"/>
    </xf>
    <xf numFmtId="0" fontId="32" fillId="0" borderId="22" xfId="0" applyFont="1" applyBorder="1"/>
    <xf numFmtId="166" fontId="31" fillId="0" borderId="1" xfId="0" applyNumberFormat="1" applyFont="1" applyBorder="1" applyAlignment="1">
      <alignment vertical="top" wrapText="1"/>
    </xf>
    <xf numFmtId="164" fontId="26" fillId="0" borderId="38" xfId="0" applyNumberFormat="1" applyFont="1" applyFill="1" applyBorder="1" applyAlignment="1">
      <alignment vertical="top" wrapText="1"/>
    </xf>
    <xf numFmtId="164" fontId="26" fillId="0" borderId="39" xfId="0" applyNumberFormat="1" applyFont="1" applyFill="1" applyBorder="1" applyAlignment="1">
      <alignment vertical="top" wrapText="1"/>
    </xf>
    <xf numFmtId="164" fontId="26" fillId="0" borderId="37" xfId="0" applyNumberFormat="1" applyFont="1" applyFill="1" applyBorder="1" applyAlignment="1">
      <alignment horizontal="right" vertical="top" wrapText="1"/>
    </xf>
    <xf numFmtId="164" fontId="47" fillId="0" borderId="36" xfId="0" applyNumberFormat="1" applyFont="1" applyFill="1" applyBorder="1" applyAlignment="1">
      <alignment horizontal="right" vertical="top" wrapText="1"/>
    </xf>
    <xf numFmtId="164" fontId="26" fillId="0" borderId="36" xfId="0" applyNumberFormat="1" applyFont="1" applyFill="1" applyBorder="1" applyAlignment="1">
      <alignment horizontal="right" vertical="top" wrapText="1"/>
    </xf>
    <xf numFmtId="164" fontId="26" fillId="0" borderId="31" xfId="0" applyNumberFormat="1" applyFont="1" applyFill="1" applyBorder="1" applyAlignment="1">
      <alignment horizontal="right" vertical="top" wrapText="1"/>
    </xf>
    <xf numFmtId="164" fontId="47" fillId="0" borderId="2" xfId="0" applyNumberFormat="1" applyFont="1" applyFill="1" applyBorder="1" applyAlignment="1">
      <alignment horizontal="right" vertical="top" wrapText="1"/>
    </xf>
    <xf numFmtId="4" fontId="31" fillId="0" borderId="1" xfId="0" applyNumberFormat="1" applyFont="1" applyBorder="1" applyAlignment="1">
      <alignment vertical="top" wrapText="1"/>
    </xf>
    <xf numFmtId="49" fontId="4" fillId="0" borderId="38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35" xfId="0" applyBorder="1" applyAlignment="1">
      <alignment wrapText="1"/>
    </xf>
    <xf numFmtId="0" fontId="0" fillId="0" borderId="38" xfId="0" applyBorder="1" applyAlignment="1">
      <alignment wrapText="1"/>
    </xf>
    <xf numFmtId="0" fontId="3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3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left" vertical="top" wrapText="1"/>
    </xf>
    <xf numFmtId="49" fontId="17" fillId="0" borderId="18" xfId="0" applyNumberFormat="1" applyFont="1" applyFill="1" applyBorder="1" applyAlignment="1">
      <alignment horizontal="left" vertical="top" wrapText="1"/>
    </xf>
    <xf numFmtId="49" fontId="17" fillId="0" borderId="14" xfId="0" applyNumberFormat="1" applyFont="1" applyFill="1" applyBorder="1" applyAlignment="1">
      <alignment horizontal="left" vertical="top" wrapText="1"/>
    </xf>
    <xf numFmtId="49" fontId="17" fillId="0" borderId="24" xfId="0" applyNumberFormat="1" applyFont="1" applyFill="1" applyBorder="1" applyAlignment="1">
      <alignment horizontal="left" vertical="top" wrapText="1"/>
    </xf>
    <xf numFmtId="49" fontId="17" fillId="0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1" fillId="2" borderId="6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15" xfId="0" applyFont="1" applyBorder="1" applyAlignment="1">
      <alignment vertical="top" wrapText="1"/>
    </xf>
    <xf numFmtId="0" fontId="33" fillId="0" borderId="22" xfId="0" applyFont="1" applyBorder="1" applyAlignment="1">
      <alignment vertical="top" wrapText="1"/>
    </xf>
    <xf numFmtId="49" fontId="3" fillId="2" borderId="15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33" fillId="0" borderId="18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top" wrapText="1"/>
    </xf>
    <xf numFmtId="49" fontId="16" fillId="0" borderId="12" xfId="0" applyNumberFormat="1" applyFont="1" applyFill="1" applyBorder="1" applyAlignment="1">
      <alignment horizontal="left" vertical="top" wrapText="1"/>
    </xf>
    <xf numFmtId="49" fontId="16" fillId="0" borderId="18" xfId="0" applyNumberFormat="1" applyFont="1" applyFill="1" applyBorder="1" applyAlignment="1">
      <alignment horizontal="left" vertical="top" wrapText="1"/>
    </xf>
    <xf numFmtId="49" fontId="16" fillId="0" borderId="14" xfId="0" applyNumberFormat="1" applyFont="1" applyFill="1" applyBorder="1" applyAlignment="1">
      <alignment horizontal="left" vertical="top" wrapText="1"/>
    </xf>
    <xf numFmtId="49" fontId="16" fillId="0" borderId="24" xfId="0" applyNumberFormat="1" applyFont="1" applyFill="1" applyBorder="1" applyAlignment="1">
      <alignment horizontal="left" vertical="top" wrapText="1"/>
    </xf>
    <xf numFmtId="49" fontId="16" fillId="0" borderId="11" xfId="0" applyNumberFormat="1" applyFont="1" applyFill="1" applyBorder="1" applyAlignment="1">
      <alignment horizontal="left" vertical="top" wrapText="1"/>
    </xf>
    <xf numFmtId="49" fontId="17" fillId="0" borderId="22" xfId="0" applyNumberFormat="1" applyFont="1" applyFill="1" applyBorder="1" applyAlignment="1">
      <alignment horizontal="left" vertical="center" wrapText="1"/>
    </xf>
    <xf numFmtId="0" fontId="27" fillId="0" borderId="0" xfId="0" applyFont="1" applyFill="1" applyAlignment="1">
      <alignment vertical="center" wrapText="1"/>
    </xf>
    <xf numFmtId="0" fontId="27" fillId="0" borderId="23" xfId="0" applyFont="1" applyFill="1" applyBorder="1" applyAlignment="1">
      <alignment vertical="center" wrapText="1"/>
    </xf>
    <xf numFmtId="0" fontId="27" fillId="0" borderId="24" xfId="0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6" fillId="0" borderId="22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</cellXfs>
  <cellStyles count="11">
    <cellStyle name="Денежный 2" xfId="2"/>
    <cellStyle name="Обычный" xfId="0" builtinId="0"/>
    <cellStyle name="Обычный 2" xfId="3"/>
    <cellStyle name="Обычный 3" xfId="4"/>
    <cellStyle name="Обычный 3 2" xfId="9"/>
    <cellStyle name="Обычный 3 3" xfId="8"/>
    <cellStyle name="Обычный 4" xfId="7"/>
    <cellStyle name="Обычный 5" xfId="6"/>
    <cellStyle name="Обычный 6" xfId="10"/>
    <cellStyle name="Обычный 7" xfId="1"/>
    <cellStyle name="Процентный 2" xf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530"/>
  <sheetViews>
    <sheetView tabSelected="1" view="pageBreakPreview" zoomScale="130" zoomScaleNormal="60" zoomScaleSheetLayoutView="130" workbookViewId="0">
      <selection activeCell="O8" sqref="O8:W8"/>
    </sheetView>
  </sheetViews>
  <sheetFormatPr defaultRowHeight="12.75" x14ac:dyDescent="0.2"/>
  <cols>
    <col min="1" max="1" width="0.140625" customWidth="1"/>
    <col min="2" max="2" width="34.5703125" customWidth="1"/>
    <col min="3" max="3" width="14.140625" customWidth="1"/>
    <col min="4" max="4" width="7.7109375" customWidth="1"/>
    <col min="5" max="5" width="0.140625" hidden="1" customWidth="1"/>
    <col min="6" max="6" width="0.28515625" hidden="1" customWidth="1"/>
    <col min="7" max="7" width="15.7109375" hidden="1" customWidth="1"/>
    <col min="8" max="8" width="18.28515625" hidden="1" customWidth="1"/>
    <col min="9" max="9" width="18" hidden="1" customWidth="1"/>
    <col min="10" max="10" width="16.7109375" hidden="1" customWidth="1"/>
    <col min="11" max="12" width="18" hidden="1" customWidth="1"/>
    <col min="13" max="13" width="19" hidden="1" customWidth="1"/>
    <col min="14" max="14" width="17.7109375" customWidth="1"/>
    <col min="15" max="15" width="22.140625" customWidth="1"/>
    <col min="16" max="16" width="27.140625" hidden="1" customWidth="1"/>
    <col min="17" max="17" width="18.85546875" hidden="1" customWidth="1"/>
    <col min="18" max="18" width="19.28515625" customWidth="1"/>
    <col min="19" max="19" width="17.42578125" customWidth="1"/>
  </cols>
  <sheetData>
    <row r="1" spans="1:23" ht="18" customHeight="1" x14ac:dyDescent="0.2">
      <c r="B1" s="1"/>
      <c r="C1" s="1"/>
      <c r="D1" s="1"/>
      <c r="E1" s="1"/>
      <c r="F1" s="1"/>
      <c r="G1" s="1"/>
      <c r="H1" s="1"/>
      <c r="O1" s="414" t="s">
        <v>521</v>
      </c>
      <c r="P1" s="415"/>
      <c r="Q1" s="415"/>
      <c r="R1" s="415"/>
      <c r="S1" s="415"/>
      <c r="T1" s="415"/>
      <c r="U1" s="415"/>
      <c r="V1" s="415"/>
      <c r="W1" s="415"/>
    </row>
    <row r="2" spans="1:23" ht="18" hidden="1" customHeight="1" x14ac:dyDescent="0.3">
      <c r="B2" s="1"/>
      <c r="C2" s="1"/>
      <c r="D2" s="1"/>
      <c r="E2" s="1"/>
      <c r="F2" s="1"/>
      <c r="G2" s="1"/>
      <c r="H2" s="1"/>
      <c r="I2" s="335"/>
      <c r="J2" s="335"/>
      <c r="K2" s="335"/>
      <c r="L2" s="335"/>
      <c r="M2" s="335"/>
      <c r="N2" s="335"/>
      <c r="O2" s="318"/>
      <c r="P2" s="334"/>
    </row>
    <row r="3" spans="1:23" ht="18" customHeight="1" x14ac:dyDescent="0.3">
      <c r="B3" s="1"/>
      <c r="C3" s="1"/>
      <c r="D3" s="1"/>
      <c r="E3" s="1"/>
      <c r="F3" s="1"/>
      <c r="G3" s="1"/>
      <c r="H3" s="1"/>
      <c r="I3" s="335"/>
      <c r="J3" s="335"/>
      <c r="K3" s="335"/>
      <c r="L3" s="335"/>
      <c r="M3" s="335"/>
      <c r="N3" s="335"/>
      <c r="O3" s="416" t="s">
        <v>517</v>
      </c>
      <c r="P3" s="411"/>
      <c r="Q3" s="411"/>
      <c r="R3" s="411"/>
    </row>
    <row r="4" spans="1:23" ht="16.149999999999999" customHeight="1" x14ac:dyDescent="0.3">
      <c r="A4" s="2"/>
      <c r="B4" s="3"/>
      <c r="C4" s="3"/>
      <c r="D4" s="3"/>
      <c r="E4" s="3"/>
      <c r="F4" s="3"/>
      <c r="G4" s="3"/>
      <c r="H4" s="3"/>
      <c r="I4" s="442"/>
      <c r="J4" s="442"/>
      <c r="K4" s="442"/>
      <c r="L4" s="442"/>
      <c r="M4" s="442"/>
      <c r="N4" s="442"/>
      <c r="O4" s="416" t="s">
        <v>518</v>
      </c>
      <c r="P4" s="411"/>
      <c r="Q4" s="411"/>
      <c r="R4" s="411"/>
      <c r="S4" s="411"/>
      <c r="T4" s="411"/>
      <c r="U4" s="411"/>
      <c r="V4" s="411"/>
      <c r="W4" s="411"/>
    </row>
    <row r="5" spans="1:23" ht="16.149999999999999" customHeight="1" x14ac:dyDescent="0.3">
      <c r="A5" s="2"/>
      <c r="B5" s="3"/>
      <c r="C5" s="3"/>
      <c r="D5" s="3"/>
      <c r="E5" s="3"/>
      <c r="F5" s="3"/>
      <c r="G5" s="3"/>
      <c r="H5" s="3"/>
      <c r="I5" s="335"/>
      <c r="J5" s="335"/>
      <c r="K5" s="335"/>
      <c r="L5" s="335"/>
      <c r="M5" s="335"/>
      <c r="N5" s="416" t="s">
        <v>527</v>
      </c>
      <c r="O5" s="411"/>
      <c r="P5" s="411"/>
      <c r="Q5" s="411"/>
      <c r="R5" s="411"/>
      <c r="S5" s="411"/>
    </row>
    <row r="6" spans="1:23" ht="15" customHeight="1" x14ac:dyDescent="0.3">
      <c r="A6" s="2"/>
      <c r="B6" s="3"/>
      <c r="C6" s="3"/>
      <c r="D6" s="3"/>
      <c r="E6" s="3"/>
      <c r="F6" s="3"/>
      <c r="G6" s="3"/>
      <c r="H6" s="3"/>
      <c r="I6" s="442"/>
      <c r="J6" s="442"/>
      <c r="K6" s="442"/>
      <c r="L6" s="442"/>
      <c r="M6" s="442"/>
      <c r="N6" s="442"/>
      <c r="O6" s="416" t="s">
        <v>515</v>
      </c>
      <c r="P6" s="411"/>
      <c r="Q6" s="411"/>
      <c r="R6" s="411"/>
      <c r="S6" s="411"/>
      <c r="T6" s="411"/>
      <c r="U6" s="411"/>
      <c r="V6" s="411"/>
      <c r="W6" s="411"/>
    </row>
    <row r="7" spans="1:23" ht="16.149999999999999" customHeight="1" x14ac:dyDescent="0.3">
      <c r="A7" s="2"/>
      <c r="B7" s="3"/>
      <c r="C7" s="3"/>
      <c r="D7" s="3"/>
      <c r="E7" s="3"/>
      <c r="F7" s="3"/>
      <c r="G7" s="3"/>
      <c r="H7" s="3"/>
      <c r="I7" s="442"/>
      <c r="J7" s="442"/>
      <c r="K7" s="442"/>
      <c r="L7" s="442"/>
      <c r="M7" s="442"/>
      <c r="N7" s="442"/>
      <c r="O7" s="416" t="s">
        <v>513</v>
      </c>
      <c r="P7" s="411"/>
      <c r="Q7" s="411"/>
      <c r="R7" s="411"/>
      <c r="S7" s="411"/>
      <c r="T7" s="411"/>
      <c r="U7" s="411"/>
      <c r="V7" s="411"/>
      <c r="W7" s="411"/>
    </row>
    <row r="8" spans="1:23" ht="16.149999999999999" customHeight="1" x14ac:dyDescent="0.3">
      <c r="A8" s="2"/>
      <c r="B8" s="3"/>
      <c r="C8" s="3"/>
      <c r="D8" s="3"/>
      <c r="E8" s="3"/>
      <c r="F8" s="3"/>
      <c r="G8" s="3"/>
      <c r="H8" s="3"/>
      <c r="I8" s="442"/>
      <c r="J8" s="442"/>
      <c r="K8" s="442"/>
      <c r="L8" s="442"/>
      <c r="M8" s="442"/>
      <c r="N8" s="442"/>
      <c r="O8" s="416" t="s">
        <v>531</v>
      </c>
      <c r="P8" s="411"/>
      <c r="Q8" s="411"/>
      <c r="R8" s="411"/>
      <c r="S8" s="411"/>
      <c r="T8" s="411"/>
      <c r="U8" s="411"/>
      <c r="V8" s="411"/>
      <c r="W8" s="411"/>
    </row>
    <row r="9" spans="1:23" ht="15.75" customHeight="1" x14ac:dyDescent="0.25">
      <c r="A9" s="2"/>
      <c r="B9" s="6"/>
      <c r="C9" s="6"/>
      <c r="D9" s="7"/>
      <c r="E9" s="7"/>
      <c r="F9" s="7"/>
      <c r="G9" s="7"/>
      <c r="H9" s="7"/>
      <c r="I9" s="440"/>
      <c r="J9" s="440"/>
      <c r="K9" s="440"/>
      <c r="L9" s="440"/>
      <c r="M9" s="440"/>
      <c r="N9" s="440"/>
      <c r="O9" s="319"/>
      <c r="P9" s="312"/>
    </row>
    <row r="10" spans="1:23" ht="36.75" hidden="1" customHeight="1" x14ac:dyDescent="0.25">
      <c r="A10" s="2"/>
      <c r="B10" s="8"/>
      <c r="C10" s="7"/>
      <c r="D10" s="7"/>
      <c r="E10" s="7"/>
      <c r="F10" s="7"/>
      <c r="G10" s="7"/>
      <c r="H10" s="7"/>
      <c r="I10" s="5"/>
      <c r="J10" s="5"/>
      <c r="K10" s="5"/>
      <c r="L10" s="5"/>
      <c r="M10" s="5"/>
      <c r="N10" s="4"/>
      <c r="O10" s="315"/>
      <c r="P10" s="4"/>
    </row>
    <row r="11" spans="1:23" ht="30.75" customHeight="1" x14ac:dyDescent="0.25">
      <c r="A11" s="2"/>
      <c r="B11" s="443" t="s">
        <v>516</v>
      </c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</row>
    <row r="12" spans="1:23" ht="26.25" customHeight="1" x14ac:dyDescent="0.2">
      <c r="A12" s="417" t="s">
        <v>514</v>
      </c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8"/>
      <c r="P12" s="411"/>
      <c r="Q12" s="411"/>
      <c r="R12" s="411"/>
    </row>
    <row r="13" spans="1:23" ht="42.75" customHeight="1" x14ac:dyDescent="0.2">
      <c r="A13" s="424" t="s">
        <v>5</v>
      </c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31"/>
      <c r="P13" s="415"/>
      <c r="Q13" s="415"/>
      <c r="R13" s="415"/>
    </row>
    <row r="14" spans="1:23" ht="19.899999999999999" customHeight="1" x14ac:dyDescent="0.3">
      <c r="A14" s="424" t="s">
        <v>529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299"/>
      <c r="P14" s="313"/>
    </row>
    <row r="15" spans="1:23" ht="13.9" customHeight="1" x14ac:dyDescent="0.25">
      <c r="A15" s="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23" ht="16.5" customHeight="1" thickBot="1" x14ac:dyDescent="0.35">
      <c r="A16" s="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441" t="s">
        <v>520</v>
      </c>
      <c r="P16" s="441"/>
      <c r="Q16" s="441"/>
      <c r="R16" s="441"/>
    </row>
    <row r="17" spans="1:18" ht="25.15" customHeight="1" x14ac:dyDescent="0.2">
      <c r="A17" s="425" t="s">
        <v>7</v>
      </c>
      <c r="B17" s="427" t="s">
        <v>8</v>
      </c>
      <c r="C17" s="428" t="s">
        <v>9</v>
      </c>
      <c r="D17" s="428"/>
      <c r="E17" s="101"/>
      <c r="F17" s="429" t="s">
        <v>510</v>
      </c>
      <c r="G17" s="430"/>
      <c r="H17" s="430"/>
      <c r="I17" s="430"/>
      <c r="J17" s="430"/>
      <c r="K17" s="430"/>
      <c r="L17" s="430"/>
      <c r="M17" s="430"/>
      <c r="N17" s="430"/>
      <c r="O17" s="432" t="s">
        <v>511</v>
      </c>
      <c r="P17" s="314"/>
      <c r="Q17" s="434" t="s">
        <v>512</v>
      </c>
      <c r="R17" s="432" t="s">
        <v>519</v>
      </c>
    </row>
    <row r="18" spans="1:18" ht="24" customHeight="1" x14ac:dyDescent="0.2">
      <c r="A18" s="426"/>
      <c r="B18" s="428"/>
      <c r="C18" s="300" t="s">
        <v>10</v>
      </c>
      <c r="D18" s="393" t="s">
        <v>11</v>
      </c>
      <c r="E18" s="102"/>
      <c r="F18" s="430"/>
      <c r="G18" s="430"/>
      <c r="H18" s="430"/>
      <c r="I18" s="430"/>
      <c r="J18" s="430"/>
      <c r="K18" s="430"/>
      <c r="L18" s="430"/>
      <c r="M18" s="430"/>
      <c r="N18" s="430"/>
      <c r="O18" s="433"/>
      <c r="P18" s="316"/>
      <c r="Q18" s="435"/>
      <c r="R18" s="433"/>
    </row>
    <row r="19" spans="1:18" ht="13.9" customHeight="1" thickBot="1" x14ac:dyDescent="0.25">
      <c r="A19" s="14" t="s">
        <v>17</v>
      </c>
      <c r="B19" s="15" t="s">
        <v>17</v>
      </c>
      <c r="C19" s="436" t="s">
        <v>528</v>
      </c>
      <c r="D19" s="437"/>
      <c r="E19" s="298"/>
      <c r="F19" s="438">
        <v>4</v>
      </c>
      <c r="G19" s="439"/>
      <c r="H19" s="439"/>
      <c r="I19" s="439"/>
      <c r="J19" s="439"/>
      <c r="K19" s="439"/>
      <c r="L19" s="439"/>
      <c r="M19" s="439"/>
      <c r="N19" s="439"/>
      <c r="O19" s="307">
        <v>5</v>
      </c>
      <c r="P19" s="317"/>
      <c r="Q19" s="331"/>
      <c r="R19" s="307">
        <v>6</v>
      </c>
    </row>
    <row r="20" spans="1:18" ht="20.45" customHeight="1" thickBot="1" x14ac:dyDescent="0.25">
      <c r="A20" s="353"/>
      <c r="B20" s="354" t="s">
        <v>530</v>
      </c>
      <c r="C20" s="354"/>
      <c r="D20" s="355"/>
      <c r="E20" s="356"/>
      <c r="F20" s="357">
        <f t="shared" ref="F20:O20" si="0">F21+F402</f>
        <v>755492.10000000021</v>
      </c>
      <c r="G20" s="357">
        <f>G21+G402</f>
        <v>384.89999999999907</v>
      </c>
      <c r="H20" s="357">
        <f t="shared" si="0"/>
        <v>755877</v>
      </c>
      <c r="I20" s="358">
        <f t="shared" si="0"/>
        <v>2017491.4</v>
      </c>
      <c r="J20" s="359">
        <f t="shared" si="0"/>
        <v>19716.300000000003</v>
      </c>
      <c r="K20" s="358">
        <f t="shared" si="0"/>
        <v>2037207.7</v>
      </c>
      <c r="L20" s="358">
        <f>L21+L402</f>
        <v>2772983.4999999995</v>
      </c>
      <c r="M20" s="357">
        <f t="shared" si="0"/>
        <v>20101.199999999997</v>
      </c>
      <c r="N20" s="360">
        <f t="shared" si="0"/>
        <v>2795477.8999999994</v>
      </c>
      <c r="O20" s="360">
        <f t="shared" si="0"/>
        <v>1098008.6000000001</v>
      </c>
      <c r="P20" s="361"/>
      <c r="Q20" s="303"/>
      <c r="R20" s="401">
        <f t="shared" ref="R20:R25" si="1">SUM(O20/N20*100)</f>
        <v>39.278028275594679</v>
      </c>
    </row>
    <row r="21" spans="1:18" ht="32.450000000000003" customHeight="1" x14ac:dyDescent="0.2">
      <c r="A21" s="362" t="s">
        <v>21</v>
      </c>
      <c r="B21" s="419" t="s">
        <v>22</v>
      </c>
      <c r="C21" s="420"/>
      <c r="D21" s="420"/>
      <c r="E21" s="363"/>
      <c r="F21" s="364">
        <f t="shared" ref="F21:O21" si="2">F22+F38+F43+F87+F99+F143+F219+F254+F263+F311+F334+F352+F391+F395</f>
        <v>699255.10000000021</v>
      </c>
      <c r="G21" s="364">
        <f t="shared" si="2"/>
        <v>-41.500000000000909</v>
      </c>
      <c r="H21" s="364">
        <f t="shared" si="2"/>
        <v>699213.6</v>
      </c>
      <c r="I21" s="365">
        <f t="shared" si="2"/>
        <v>2016723.2999999998</v>
      </c>
      <c r="J21" s="364">
        <f>J22+J38+J43+J87+J99+J143+J219+J254+J263+J311+J334+J352+J391+J395</f>
        <v>12970.7</v>
      </c>
      <c r="K21" s="365">
        <f t="shared" si="2"/>
        <v>2029694</v>
      </c>
      <c r="L21" s="364">
        <f t="shared" si="2"/>
        <v>2715978.3999999994</v>
      </c>
      <c r="M21" s="364">
        <f t="shared" si="2"/>
        <v>12929.199999999999</v>
      </c>
      <c r="N21" s="366">
        <f t="shared" si="2"/>
        <v>2728907.6999999993</v>
      </c>
      <c r="O21" s="366">
        <f t="shared" si="2"/>
        <v>1033276.6000000001</v>
      </c>
      <c r="P21" s="315"/>
      <c r="Q21" s="367"/>
      <c r="R21" s="401">
        <f t="shared" si="1"/>
        <v>37.864109511655535</v>
      </c>
    </row>
    <row r="22" spans="1:18" ht="38.25" customHeight="1" x14ac:dyDescent="0.2">
      <c r="A22" s="42" t="s">
        <v>23</v>
      </c>
      <c r="B22" s="168" t="s">
        <v>24</v>
      </c>
      <c r="C22" s="169" t="s">
        <v>25</v>
      </c>
      <c r="D22" s="170" t="s">
        <v>26</v>
      </c>
      <c r="E22" s="171"/>
      <c r="F22" s="172">
        <f t="shared" ref="F22:O22" si="3">F23+F29</f>
        <v>15336.8</v>
      </c>
      <c r="G22" s="172">
        <f t="shared" si="3"/>
        <v>57.199999999999989</v>
      </c>
      <c r="H22" s="172">
        <f t="shared" si="3"/>
        <v>15394</v>
      </c>
      <c r="I22" s="188">
        <f t="shared" si="3"/>
        <v>556</v>
      </c>
      <c r="J22" s="172">
        <f>J23+J29</f>
        <v>0</v>
      </c>
      <c r="K22" s="188">
        <f t="shared" si="3"/>
        <v>556</v>
      </c>
      <c r="L22" s="172">
        <f t="shared" si="3"/>
        <v>15892.8</v>
      </c>
      <c r="M22" s="172">
        <f t="shared" si="3"/>
        <v>57.199999999999989</v>
      </c>
      <c r="N22" s="304">
        <f t="shared" si="3"/>
        <v>15950</v>
      </c>
      <c r="O22" s="304">
        <f t="shared" si="3"/>
        <v>15880.7</v>
      </c>
      <c r="P22" s="315"/>
      <c r="Q22" s="48"/>
      <c r="R22" s="401">
        <f t="shared" si="1"/>
        <v>99.565517241379325</v>
      </c>
    </row>
    <row r="23" spans="1:18" ht="94.5" x14ac:dyDescent="0.2">
      <c r="A23" s="42"/>
      <c r="B23" s="168" t="s">
        <v>27</v>
      </c>
      <c r="C23" s="169" t="s">
        <v>28</v>
      </c>
      <c r="D23" s="170" t="s">
        <v>26</v>
      </c>
      <c r="E23" s="171"/>
      <c r="F23" s="172">
        <f>F24+F27</f>
        <v>2576.9</v>
      </c>
      <c r="G23" s="172">
        <f>G24+G27</f>
        <v>0</v>
      </c>
      <c r="H23" s="172">
        <f>H24+H27</f>
        <v>2576.9</v>
      </c>
      <c r="I23" s="188">
        <f>I24+I27</f>
        <v>400</v>
      </c>
      <c r="J23" s="189"/>
      <c r="K23" s="188">
        <f>K24+K27</f>
        <v>400</v>
      </c>
      <c r="L23" s="172">
        <f>L24+L27</f>
        <v>2976.9</v>
      </c>
      <c r="M23" s="172">
        <f>M24+M27</f>
        <v>0</v>
      </c>
      <c r="N23" s="172">
        <f>N24+N27</f>
        <v>2976.9</v>
      </c>
      <c r="O23" s="172">
        <f>O24+O27</f>
        <v>2976.8</v>
      </c>
      <c r="P23" s="315"/>
      <c r="Q23" s="48"/>
      <c r="R23" s="409">
        <f t="shared" si="1"/>
        <v>99.996640800833077</v>
      </c>
    </row>
    <row r="24" spans="1:18" ht="66.75" customHeight="1" x14ac:dyDescent="0.2">
      <c r="A24" s="42"/>
      <c r="B24" s="168" t="s">
        <v>29</v>
      </c>
      <c r="C24" s="169" t="s">
        <v>30</v>
      </c>
      <c r="D24" s="170" t="s">
        <v>26</v>
      </c>
      <c r="E24" s="171"/>
      <c r="F24" s="172">
        <f>SUM(F25+F26)</f>
        <v>1946.3</v>
      </c>
      <c r="G24" s="172">
        <f>SUM(G25)</f>
        <v>0</v>
      </c>
      <c r="H24" s="172">
        <f>SUM(F24)+G24</f>
        <v>1946.3</v>
      </c>
      <c r="I24" s="188">
        <f t="shared" ref="I24:O24" si="4">I25+I26</f>
        <v>400</v>
      </c>
      <c r="J24" s="189">
        <f t="shared" si="4"/>
        <v>0</v>
      </c>
      <c r="K24" s="188">
        <f t="shared" si="4"/>
        <v>400</v>
      </c>
      <c r="L24" s="172">
        <f t="shared" si="4"/>
        <v>2346.3000000000002</v>
      </c>
      <c r="M24" s="172">
        <f t="shared" si="4"/>
        <v>0</v>
      </c>
      <c r="N24" s="304">
        <f t="shared" si="4"/>
        <v>2346.3000000000002</v>
      </c>
      <c r="O24" s="172">
        <f t="shared" si="4"/>
        <v>2346.2000000000003</v>
      </c>
      <c r="P24" s="315"/>
      <c r="Q24" s="303"/>
      <c r="R24" s="401">
        <f t="shared" si="1"/>
        <v>99.995737970421516</v>
      </c>
    </row>
    <row r="25" spans="1:18" ht="67.900000000000006" customHeight="1" x14ac:dyDescent="0.2">
      <c r="A25" s="42"/>
      <c r="B25" s="168" t="s">
        <v>31</v>
      </c>
      <c r="C25" s="169" t="s">
        <v>30</v>
      </c>
      <c r="D25" s="170" t="s">
        <v>32</v>
      </c>
      <c r="E25" s="171"/>
      <c r="F25" s="172">
        <v>1875.3</v>
      </c>
      <c r="G25" s="172"/>
      <c r="H25" s="172">
        <v>1875.3</v>
      </c>
      <c r="I25" s="188">
        <v>288.2</v>
      </c>
      <c r="J25" s="189"/>
      <c r="K25" s="188">
        <f>SUM(I25:J25)</f>
        <v>288.2</v>
      </c>
      <c r="L25" s="172">
        <f t="shared" ref="L25:N26" si="5">F25+I25</f>
        <v>2163.5</v>
      </c>
      <c r="M25" s="172">
        <f t="shared" si="5"/>
        <v>0</v>
      </c>
      <c r="N25" s="304">
        <f t="shared" si="5"/>
        <v>2163.5</v>
      </c>
      <c r="O25" s="309">
        <v>2163.4</v>
      </c>
      <c r="P25" s="319"/>
      <c r="Q25" s="303"/>
      <c r="R25" s="401">
        <f t="shared" si="1"/>
        <v>99.995377859949159</v>
      </c>
    </row>
    <row r="26" spans="1:18" ht="37.15" customHeight="1" x14ac:dyDescent="0.2">
      <c r="A26" s="42"/>
      <c r="B26" s="168" t="s">
        <v>35</v>
      </c>
      <c r="C26" s="169" t="s">
        <v>30</v>
      </c>
      <c r="D26" s="170" t="s">
        <v>36</v>
      </c>
      <c r="E26" s="171"/>
      <c r="F26" s="172">
        <v>71</v>
      </c>
      <c r="G26" s="172"/>
      <c r="H26" s="172">
        <v>71</v>
      </c>
      <c r="I26" s="188">
        <v>111.8</v>
      </c>
      <c r="J26" s="189"/>
      <c r="K26" s="188">
        <f>SUM(I26:J26)</f>
        <v>111.8</v>
      </c>
      <c r="L26" s="172">
        <f t="shared" si="5"/>
        <v>182.8</v>
      </c>
      <c r="M26" s="172">
        <f t="shared" si="5"/>
        <v>0</v>
      </c>
      <c r="N26" s="304">
        <f t="shared" si="5"/>
        <v>182.8</v>
      </c>
      <c r="O26" s="309">
        <v>182.8</v>
      </c>
      <c r="P26" s="319"/>
      <c r="Q26" s="303"/>
      <c r="R26" s="401">
        <f t="shared" ref="R26:R89" si="6">SUM(O26/N26*100)</f>
        <v>100</v>
      </c>
    </row>
    <row r="27" spans="1:18" ht="36" customHeight="1" x14ac:dyDescent="0.2">
      <c r="A27" s="42"/>
      <c r="B27" s="168" t="s">
        <v>33</v>
      </c>
      <c r="C27" s="169" t="s">
        <v>34</v>
      </c>
      <c r="D27" s="170" t="s">
        <v>26</v>
      </c>
      <c r="E27" s="171"/>
      <c r="F27" s="172">
        <f>F28</f>
        <v>630.6</v>
      </c>
      <c r="G27" s="172">
        <f>G28</f>
        <v>0</v>
      </c>
      <c r="H27" s="172">
        <f>H28</f>
        <v>630.6</v>
      </c>
      <c r="I27" s="188">
        <f>I28</f>
        <v>0</v>
      </c>
      <c r="J27" s="189"/>
      <c r="K27" s="188">
        <f>K28</f>
        <v>0</v>
      </c>
      <c r="L27" s="172">
        <f>L28</f>
        <v>630.6</v>
      </c>
      <c r="M27" s="172">
        <f>M28</f>
        <v>0</v>
      </c>
      <c r="N27" s="304">
        <f>N28</f>
        <v>630.6</v>
      </c>
      <c r="O27" s="304">
        <f>O28</f>
        <v>630.6</v>
      </c>
      <c r="P27" s="315"/>
      <c r="Q27" s="367"/>
      <c r="R27" s="401">
        <f t="shared" si="6"/>
        <v>100</v>
      </c>
    </row>
    <row r="28" spans="1:18" ht="53.25" customHeight="1" x14ac:dyDescent="0.2">
      <c r="A28" s="42"/>
      <c r="B28" s="168" t="s">
        <v>35</v>
      </c>
      <c r="C28" s="169" t="s">
        <v>34</v>
      </c>
      <c r="D28" s="170" t="s">
        <v>36</v>
      </c>
      <c r="E28" s="171"/>
      <c r="F28" s="172">
        <v>630.6</v>
      </c>
      <c r="G28" s="172"/>
      <c r="H28" s="172">
        <f>SUM(F28)+G28</f>
        <v>630.6</v>
      </c>
      <c r="I28" s="188">
        <v>0</v>
      </c>
      <c r="J28" s="189"/>
      <c r="K28" s="188">
        <v>0</v>
      </c>
      <c r="L28" s="172">
        <f>SUM(F28)</f>
        <v>630.6</v>
      </c>
      <c r="M28" s="172">
        <f>SUM(G28)</f>
        <v>0</v>
      </c>
      <c r="N28" s="304">
        <f>SUM(L28)+M28</f>
        <v>630.6</v>
      </c>
      <c r="O28" s="309">
        <v>630.6</v>
      </c>
      <c r="P28" s="319"/>
      <c r="Q28" s="303"/>
      <c r="R28" s="401">
        <f t="shared" si="6"/>
        <v>100</v>
      </c>
    </row>
    <row r="29" spans="1:18" ht="78.75" x14ac:dyDescent="0.2">
      <c r="A29" s="42"/>
      <c r="B29" s="168" t="s">
        <v>37</v>
      </c>
      <c r="C29" s="169" t="s">
        <v>38</v>
      </c>
      <c r="D29" s="170" t="s">
        <v>26</v>
      </c>
      <c r="E29" s="171"/>
      <c r="F29" s="172">
        <f>F30+F34</f>
        <v>12759.9</v>
      </c>
      <c r="G29" s="172">
        <f>G30+G34</f>
        <v>57.199999999999989</v>
      </c>
      <c r="H29" s="172">
        <f>H30+H34</f>
        <v>12817.1</v>
      </c>
      <c r="I29" s="188">
        <f>I30+I34+I36</f>
        <v>156</v>
      </c>
      <c r="J29" s="189">
        <f>SUM(J36)</f>
        <v>0</v>
      </c>
      <c r="K29" s="188">
        <f>K30+K34+K36</f>
        <v>156</v>
      </c>
      <c r="L29" s="172">
        <f>L30+L34+L37</f>
        <v>12915.9</v>
      </c>
      <c r="M29" s="172">
        <f>M30+M34+J29</f>
        <v>57.199999999999989</v>
      </c>
      <c r="N29" s="304">
        <f>N30+N34+N37</f>
        <v>12973.1</v>
      </c>
      <c r="O29" s="304">
        <f>O30+O34+O37</f>
        <v>12903.9</v>
      </c>
      <c r="P29" s="315"/>
      <c r="Q29" s="367"/>
      <c r="R29" s="401">
        <f t="shared" si="6"/>
        <v>99.466588556320374</v>
      </c>
    </row>
    <row r="30" spans="1:18" ht="47.25" x14ac:dyDescent="0.2">
      <c r="A30" s="42"/>
      <c r="B30" s="168" t="s">
        <v>39</v>
      </c>
      <c r="C30" s="169" t="s">
        <v>40</v>
      </c>
      <c r="D30" s="170" t="s">
        <v>26</v>
      </c>
      <c r="E30" s="171"/>
      <c r="F30" s="172">
        <f>F31+F32+F33</f>
        <v>11954.8</v>
      </c>
      <c r="G30" s="172">
        <f>G31+G32+G33</f>
        <v>92.199999999999989</v>
      </c>
      <c r="H30" s="172">
        <f>H31+H32+H33</f>
        <v>12047</v>
      </c>
      <c r="I30" s="188">
        <f>I31+I32+I33</f>
        <v>0</v>
      </c>
      <c r="J30" s="189">
        <f>SUM(I31)+J32</f>
        <v>0</v>
      </c>
      <c r="K30" s="188">
        <f>K31+K32+K33</f>
        <v>0</v>
      </c>
      <c r="L30" s="172">
        <f>L31+L32+L33</f>
        <v>11954.8</v>
      </c>
      <c r="M30" s="172">
        <f>M31+M32+M33</f>
        <v>92.199999999999989</v>
      </c>
      <c r="N30" s="304">
        <f>N31+N32+N33</f>
        <v>12047</v>
      </c>
      <c r="O30" s="304">
        <f>O31+O32+O33</f>
        <v>11977.8</v>
      </c>
      <c r="P30" s="315"/>
      <c r="Q30" s="367"/>
      <c r="R30" s="401">
        <f t="shared" si="6"/>
        <v>99.425583132730139</v>
      </c>
    </row>
    <row r="31" spans="1:18" ht="67.900000000000006" customHeight="1" x14ac:dyDescent="0.2">
      <c r="A31" s="42"/>
      <c r="B31" s="168" t="s">
        <v>31</v>
      </c>
      <c r="C31" s="169" t="s">
        <v>40</v>
      </c>
      <c r="D31" s="170" t="s">
        <v>32</v>
      </c>
      <c r="E31" s="171"/>
      <c r="F31" s="172">
        <v>8892.2999999999993</v>
      </c>
      <c r="G31" s="172">
        <f>57.2+170</f>
        <v>227.2</v>
      </c>
      <c r="H31" s="172">
        <f>SUM(F31)+G31</f>
        <v>9119.5</v>
      </c>
      <c r="I31" s="188">
        <v>0</v>
      </c>
      <c r="J31" s="189"/>
      <c r="K31" s="188">
        <v>0</v>
      </c>
      <c r="L31" s="172">
        <f>SUM(F31)</f>
        <v>8892.2999999999993</v>
      </c>
      <c r="M31" s="172">
        <f>SUM(G31)</f>
        <v>227.2</v>
      </c>
      <c r="N31" s="304">
        <f>SUM(H31)</f>
        <v>9119.5</v>
      </c>
      <c r="O31" s="309">
        <v>9094.4</v>
      </c>
      <c r="P31" s="319"/>
      <c r="Q31" s="303"/>
      <c r="R31" s="401">
        <f t="shared" si="6"/>
        <v>99.724765612149781</v>
      </c>
    </row>
    <row r="32" spans="1:18" ht="49.5" customHeight="1" x14ac:dyDescent="0.2">
      <c r="A32" s="42"/>
      <c r="B32" s="168" t="s">
        <v>35</v>
      </c>
      <c r="C32" s="169" t="s">
        <v>40</v>
      </c>
      <c r="D32" s="170" t="s">
        <v>36</v>
      </c>
      <c r="E32" s="171"/>
      <c r="F32" s="172">
        <v>3058.8</v>
      </c>
      <c r="G32" s="172">
        <v>-135</v>
      </c>
      <c r="H32" s="172">
        <f>SUM(F32)+G32</f>
        <v>2923.8</v>
      </c>
      <c r="I32" s="188">
        <v>0</v>
      </c>
      <c r="J32" s="189"/>
      <c r="K32" s="188">
        <f>SUM(J32)</f>
        <v>0</v>
      </c>
      <c r="L32" s="172">
        <f>SUM(F32)</f>
        <v>3058.8</v>
      </c>
      <c r="M32" s="172">
        <f>SUM(G32+J32)</f>
        <v>-135</v>
      </c>
      <c r="N32" s="304">
        <f>SUM(H32)</f>
        <v>2923.8</v>
      </c>
      <c r="O32" s="309">
        <v>2880.7</v>
      </c>
      <c r="P32" s="319"/>
      <c r="Q32" s="303"/>
      <c r="R32" s="401">
        <f t="shared" si="6"/>
        <v>98.525890963814206</v>
      </c>
    </row>
    <row r="33" spans="1:18" ht="18.75" x14ac:dyDescent="0.2">
      <c r="A33" s="42"/>
      <c r="B33" s="168" t="s">
        <v>41</v>
      </c>
      <c r="C33" s="169" t="s">
        <v>40</v>
      </c>
      <c r="D33" s="170" t="s">
        <v>42</v>
      </c>
      <c r="E33" s="171"/>
      <c r="F33" s="172">
        <v>3.7</v>
      </c>
      <c r="G33" s="172"/>
      <c r="H33" s="172">
        <v>3.7</v>
      </c>
      <c r="I33" s="188">
        <v>0</v>
      </c>
      <c r="J33" s="189"/>
      <c r="K33" s="188">
        <v>0</v>
      </c>
      <c r="L33" s="172">
        <v>3.7</v>
      </c>
      <c r="M33" s="172"/>
      <c r="N33" s="304">
        <v>3.7</v>
      </c>
      <c r="O33" s="309">
        <v>2.7</v>
      </c>
      <c r="P33" s="319"/>
      <c r="Q33" s="303"/>
      <c r="R33" s="401">
        <f t="shared" si="6"/>
        <v>72.972972972972968</v>
      </c>
    </row>
    <row r="34" spans="1:18" ht="63" x14ac:dyDescent="0.2">
      <c r="A34" s="42"/>
      <c r="B34" s="168" t="s">
        <v>43</v>
      </c>
      <c r="C34" s="169" t="s">
        <v>44</v>
      </c>
      <c r="D34" s="170" t="s">
        <v>26</v>
      </c>
      <c r="E34" s="171"/>
      <c r="F34" s="172">
        <f>F35</f>
        <v>805.1</v>
      </c>
      <c r="G34" s="172">
        <f>G35</f>
        <v>-35</v>
      </c>
      <c r="H34" s="172">
        <f>H35</f>
        <v>770.1</v>
      </c>
      <c r="I34" s="188">
        <f>I35</f>
        <v>0</v>
      </c>
      <c r="J34" s="189"/>
      <c r="K34" s="188">
        <f>K35</f>
        <v>0</v>
      </c>
      <c r="L34" s="172">
        <f>L35</f>
        <v>805.1</v>
      </c>
      <c r="M34" s="172">
        <f>M35</f>
        <v>-35</v>
      </c>
      <c r="N34" s="304">
        <f>N35</f>
        <v>770.1</v>
      </c>
      <c r="O34" s="304">
        <f>O35</f>
        <v>770.1</v>
      </c>
      <c r="P34" s="315"/>
      <c r="Q34" s="367"/>
      <c r="R34" s="401">
        <f t="shared" si="6"/>
        <v>100</v>
      </c>
    </row>
    <row r="35" spans="1:18" ht="63" x14ac:dyDescent="0.2">
      <c r="A35" s="42"/>
      <c r="B35" s="168" t="s">
        <v>35</v>
      </c>
      <c r="C35" s="169" t="s">
        <v>44</v>
      </c>
      <c r="D35" s="170" t="s">
        <v>36</v>
      </c>
      <c r="E35" s="171"/>
      <c r="F35" s="172">
        <v>805.1</v>
      </c>
      <c r="G35" s="172">
        <v>-35</v>
      </c>
      <c r="H35" s="172">
        <f>SUM(F35)+G35</f>
        <v>770.1</v>
      </c>
      <c r="I35" s="188">
        <v>0</v>
      </c>
      <c r="J35" s="189"/>
      <c r="K35" s="188">
        <v>0</v>
      </c>
      <c r="L35" s="172">
        <f>SUM(F35)</f>
        <v>805.1</v>
      </c>
      <c r="M35" s="172">
        <f>SUM(G35)</f>
        <v>-35</v>
      </c>
      <c r="N35" s="304">
        <f>SUM(H35)</f>
        <v>770.1</v>
      </c>
      <c r="O35" s="309">
        <v>770.1</v>
      </c>
      <c r="P35" s="319"/>
      <c r="Q35" s="303"/>
      <c r="R35" s="401">
        <f t="shared" si="6"/>
        <v>100</v>
      </c>
    </row>
    <row r="36" spans="1:18" ht="126" x14ac:dyDescent="0.2">
      <c r="A36" s="42"/>
      <c r="B36" s="158" t="s">
        <v>45</v>
      </c>
      <c r="C36" s="169" t="s">
        <v>46</v>
      </c>
      <c r="D36" s="170"/>
      <c r="E36" s="171"/>
      <c r="F36" s="172"/>
      <c r="G36" s="172"/>
      <c r="H36" s="172"/>
      <c r="I36" s="188">
        <f>SUM(I37)</f>
        <v>156</v>
      </c>
      <c r="J36" s="189">
        <f>SUM(J37)</f>
        <v>0</v>
      </c>
      <c r="K36" s="188">
        <f>SUM(I36)</f>
        <v>156</v>
      </c>
      <c r="L36" s="172">
        <f>SUM(I36)</f>
        <v>156</v>
      </c>
      <c r="M36" s="172"/>
      <c r="N36" s="304">
        <f>SUM(K36)</f>
        <v>156</v>
      </c>
      <c r="O36" s="304">
        <f>SUM(L36)</f>
        <v>156</v>
      </c>
      <c r="P36" s="315"/>
      <c r="Q36" s="367"/>
      <c r="R36" s="401">
        <f t="shared" si="6"/>
        <v>100</v>
      </c>
    </row>
    <row r="37" spans="1:18" ht="63" x14ac:dyDescent="0.2">
      <c r="A37" s="42"/>
      <c r="B37" s="168" t="s">
        <v>35</v>
      </c>
      <c r="C37" s="169" t="s">
        <v>46</v>
      </c>
      <c r="D37" s="170" t="s">
        <v>36</v>
      </c>
      <c r="E37" s="171"/>
      <c r="F37" s="172"/>
      <c r="G37" s="172"/>
      <c r="H37" s="172"/>
      <c r="I37" s="188">
        <v>156</v>
      </c>
      <c r="J37" s="189"/>
      <c r="K37" s="188">
        <f>SUM(I37)</f>
        <v>156</v>
      </c>
      <c r="L37" s="172">
        <f>SUM(I37)</f>
        <v>156</v>
      </c>
      <c r="M37" s="172">
        <f>SUM(J37)</f>
        <v>0</v>
      </c>
      <c r="N37" s="304">
        <f>SUM(K37)</f>
        <v>156</v>
      </c>
      <c r="O37" s="309">
        <v>156</v>
      </c>
      <c r="P37" s="319"/>
      <c r="Q37" s="303"/>
      <c r="R37" s="401">
        <f t="shared" si="6"/>
        <v>100</v>
      </c>
    </row>
    <row r="38" spans="1:18" ht="60" customHeight="1" x14ac:dyDescent="0.2">
      <c r="A38" s="42" t="s">
        <v>47</v>
      </c>
      <c r="B38" s="168" t="s">
        <v>48</v>
      </c>
      <c r="C38" s="169" t="s">
        <v>49</v>
      </c>
      <c r="D38" s="170" t="s">
        <v>26</v>
      </c>
      <c r="E38" s="171"/>
      <c r="F38" s="172">
        <f t="shared" ref="F38:O39" si="7">F39</f>
        <v>1813.8</v>
      </c>
      <c r="G38" s="172">
        <f t="shared" si="7"/>
        <v>0</v>
      </c>
      <c r="H38" s="172">
        <f t="shared" si="7"/>
        <v>1813.8</v>
      </c>
      <c r="I38" s="188">
        <f t="shared" si="7"/>
        <v>0</v>
      </c>
      <c r="J38" s="172">
        <f t="shared" si="7"/>
        <v>0</v>
      </c>
      <c r="K38" s="188">
        <f t="shared" si="7"/>
        <v>0</v>
      </c>
      <c r="L38" s="172">
        <f t="shared" si="7"/>
        <v>1813.8</v>
      </c>
      <c r="M38" s="172">
        <f t="shared" si="7"/>
        <v>0</v>
      </c>
      <c r="N38" s="304">
        <f t="shared" si="7"/>
        <v>1813.8</v>
      </c>
      <c r="O38" s="304">
        <f t="shared" si="7"/>
        <v>1813.8</v>
      </c>
      <c r="P38" s="315"/>
      <c r="Q38" s="367"/>
      <c r="R38" s="401">
        <f t="shared" si="6"/>
        <v>100</v>
      </c>
    </row>
    <row r="39" spans="1:18" ht="50.45" customHeight="1" x14ac:dyDescent="0.2">
      <c r="A39" s="42"/>
      <c r="B39" s="168" t="s">
        <v>50</v>
      </c>
      <c r="C39" s="169" t="s">
        <v>51</v>
      </c>
      <c r="D39" s="170" t="s">
        <v>26</v>
      </c>
      <c r="E39" s="171"/>
      <c r="F39" s="172">
        <f t="shared" si="7"/>
        <v>1813.8</v>
      </c>
      <c r="G39" s="172">
        <f t="shared" si="7"/>
        <v>0</v>
      </c>
      <c r="H39" s="172">
        <f t="shared" si="7"/>
        <v>1813.8</v>
      </c>
      <c r="I39" s="188">
        <f t="shared" si="7"/>
        <v>0</v>
      </c>
      <c r="J39" s="189"/>
      <c r="K39" s="188">
        <f t="shared" si="7"/>
        <v>0</v>
      </c>
      <c r="L39" s="172">
        <f t="shared" si="7"/>
        <v>1813.8</v>
      </c>
      <c r="M39" s="172">
        <f t="shared" si="7"/>
        <v>0</v>
      </c>
      <c r="N39" s="304">
        <f t="shared" si="7"/>
        <v>1813.8</v>
      </c>
      <c r="O39" s="304">
        <f t="shared" si="7"/>
        <v>1813.8</v>
      </c>
      <c r="P39" s="315"/>
      <c r="Q39" s="367"/>
      <c r="R39" s="401">
        <f t="shared" si="6"/>
        <v>100</v>
      </c>
    </row>
    <row r="40" spans="1:18" ht="36.6" customHeight="1" x14ac:dyDescent="0.2">
      <c r="A40" s="42"/>
      <c r="B40" s="168" t="s">
        <v>52</v>
      </c>
      <c r="C40" s="169" t="s">
        <v>53</v>
      </c>
      <c r="D40" s="170" t="s">
        <v>26</v>
      </c>
      <c r="E40" s="171"/>
      <c r="F40" s="172">
        <f>F41+F42</f>
        <v>1813.8</v>
      </c>
      <c r="G40" s="172">
        <f>G41+G42</f>
        <v>0</v>
      </c>
      <c r="H40" s="172">
        <f>H41+H42</f>
        <v>1813.8</v>
      </c>
      <c r="I40" s="188">
        <f>I41+I42</f>
        <v>0</v>
      </c>
      <c r="J40" s="189"/>
      <c r="K40" s="188">
        <f>K41+K42</f>
        <v>0</v>
      </c>
      <c r="L40" s="172">
        <f>L41+L42</f>
        <v>1813.8</v>
      </c>
      <c r="M40" s="172">
        <f>M41+M42</f>
        <v>0</v>
      </c>
      <c r="N40" s="304">
        <f>N41+N42</f>
        <v>1813.8</v>
      </c>
      <c r="O40" s="304">
        <f>O41+O42</f>
        <v>1813.8</v>
      </c>
      <c r="P40" s="315"/>
      <c r="Q40" s="367"/>
      <c r="R40" s="401">
        <f t="shared" si="6"/>
        <v>100</v>
      </c>
    </row>
    <row r="41" spans="1:18" ht="63" x14ac:dyDescent="0.2">
      <c r="A41" s="42"/>
      <c r="B41" s="168" t="s">
        <v>35</v>
      </c>
      <c r="C41" s="169" t="s">
        <v>53</v>
      </c>
      <c r="D41" s="170" t="s">
        <v>36</v>
      </c>
      <c r="E41" s="171"/>
      <c r="F41" s="172">
        <v>300</v>
      </c>
      <c r="G41" s="172"/>
      <c r="H41" s="172">
        <v>300</v>
      </c>
      <c r="I41" s="188"/>
      <c r="J41" s="189"/>
      <c r="K41" s="188"/>
      <c r="L41" s="172">
        <v>300</v>
      </c>
      <c r="M41" s="172"/>
      <c r="N41" s="304">
        <v>300</v>
      </c>
      <c r="O41" s="304">
        <v>300</v>
      </c>
      <c r="P41" s="315"/>
      <c r="Q41" s="367"/>
      <c r="R41" s="401">
        <f t="shared" si="6"/>
        <v>100</v>
      </c>
    </row>
    <row r="42" spans="1:18" ht="31.5" x14ac:dyDescent="0.2">
      <c r="A42" s="42"/>
      <c r="B42" s="168" t="s">
        <v>54</v>
      </c>
      <c r="C42" s="169" t="s">
        <v>53</v>
      </c>
      <c r="D42" s="170" t="s">
        <v>55</v>
      </c>
      <c r="E42" s="171"/>
      <c r="F42" s="172">
        <v>1513.8</v>
      </c>
      <c r="G42" s="172"/>
      <c r="H42" s="172">
        <v>1513.8</v>
      </c>
      <c r="I42" s="188"/>
      <c r="J42" s="189"/>
      <c r="K42" s="188"/>
      <c r="L42" s="172">
        <v>1513.8</v>
      </c>
      <c r="M42" s="172"/>
      <c r="N42" s="304">
        <v>1513.8</v>
      </c>
      <c r="O42" s="304">
        <v>1513.8</v>
      </c>
      <c r="P42" s="315"/>
      <c r="Q42" s="367"/>
      <c r="R42" s="401">
        <f t="shared" si="6"/>
        <v>100</v>
      </c>
    </row>
    <row r="43" spans="1:18" ht="57" customHeight="1" x14ac:dyDescent="0.2">
      <c r="A43" s="42" t="s">
        <v>56</v>
      </c>
      <c r="B43" s="168" t="s">
        <v>57</v>
      </c>
      <c r="C43" s="169" t="s">
        <v>58</v>
      </c>
      <c r="D43" s="170" t="s">
        <v>26</v>
      </c>
      <c r="E43" s="171"/>
      <c r="F43" s="172">
        <f t="shared" ref="F43:O43" si="8">F44+F52+F77</f>
        <v>144044.80000000002</v>
      </c>
      <c r="G43" s="172">
        <f>G44+G52+G77</f>
        <v>1737.5</v>
      </c>
      <c r="H43" s="172">
        <f t="shared" si="8"/>
        <v>145782.30000000002</v>
      </c>
      <c r="I43" s="188">
        <f t="shared" si="8"/>
        <v>27919.600000000002</v>
      </c>
      <c r="J43" s="273">
        <f t="shared" si="8"/>
        <v>14813.1</v>
      </c>
      <c r="K43" s="188">
        <f t="shared" si="8"/>
        <v>42732.700000000004</v>
      </c>
      <c r="L43" s="172">
        <f t="shared" si="8"/>
        <v>171964.40000000002</v>
      </c>
      <c r="M43" s="273">
        <f t="shared" si="8"/>
        <v>16550.599999999999</v>
      </c>
      <c r="N43" s="304">
        <f t="shared" si="8"/>
        <v>188515.00000000003</v>
      </c>
      <c r="O43" s="304">
        <f t="shared" si="8"/>
        <v>187834.80000000005</v>
      </c>
      <c r="P43" s="321"/>
      <c r="Q43" s="310"/>
      <c r="R43" s="401">
        <f t="shared" si="6"/>
        <v>99.639179906108282</v>
      </c>
    </row>
    <row r="44" spans="1:18" ht="18.75" x14ac:dyDescent="0.2">
      <c r="A44" s="368"/>
      <c r="B44" s="168" t="s">
        <v>59</v>
      </c>
      <c r="C44" s="207" t="s">
        <v>60</v>
      </c>
      <c r="D44" s="208" t="s">
        <v>26</v>
      </c>
      <c r="E44" s="209"/>
      <c r="F44" s="210">
        <f>F45</f>
        <v>6528.2</v>
      </c>
      <c r="G44" s="210">
        <f>G45</f>
        <v>0</v>
      </c>
      <c r="H44" s="210">
        <f>H45</f>
        <v>6528.2</v>
      </c>
      <c r="I44" s="211">
        <f>I45</f>
        <v>0</v>
      </c>
      <c r="J44" s="212"/>
      <c r="K44" s="211">
        <f>K45</f>
        <v>0</v>
      </c>
      <c r="L44" s="210">
        <f>L45</f>
        <v>6528.2</v>
      </c>
      <c r="M44" s="210">
        <f>M45</f>
        <v>0</v>
      </c>
      <c r="N44" s="333">
        <f>N45</f>
        <v>6528.2</v>
      </c>
      <c r="O44" s="333">
        <f>O45</f>
        <v>6528.2</v>
      </c>
      <c r="P44" s="369"/>
      <c r="Q44" s="367"/>
      <c r="R44" s="401">
        <f t="shared" si="6"/>
        <v>100</v>
      </c>
    </row>
    <row r="45" spans="1:18" ht="18.75" x14ac:dyDescent="0.2">
      <c r="A45" s="42"/>
      <c r="B45" s="168" t="s">
        <v>61</v>
      </c>
      <c r="C45" s="169" t="s">
        <v>62</v>
      </c>
      <c r="D45" s="170" t="s">
        <v>26</v>
      </c>
      <c r="E45" s="171"/>
      <c r="F45" s="172">
        <f>F46+F48+F50</f>
        <v>6528.2</v>
      </c>
      <c r="G45" s="172">
        <f>G46+G48+G50</f>
        <v>0</v>
      </c>
      <c r="H45" s="172">
        <f>H46+H48+H50</f>
        <v>6528.2</v>
      </c>
      <c r="I45" s="188">
        <f>I46+I48+I50</f>
        <v>0</v>
      </c>
      <c r="J45" s="189"/>
      <c r="K45" s="188">
        <f>K46+K48+K50</f>
        <v>0</v>
      </c>
      <c r="L45" s="172">
        <f>L46+L48+L50</f>
        <v>6528.2</v>
      </c>
      <c r="M45" s="172">
        <f>M46+M48+M50</f>
        <v>0</v>
      </c>
      <c r="N45" s="304">
        <f>N46+N48+N50</f>
        <v>6528.2</v>
      </c>
      <c r="O45" s="304">
        <f>O46+O48+O50</f>
        <v>6528.2</v>
      </c>
      <c r="P45" s="315"/>
      <c r="Q45" s="367"/>
      <c r="R45" s="401">
        <f t="shared" si="6"/>
        <v>100</v>
      </c>
    </row>
    <row r="46" spans="1:18" ht="31.5" x14ac:dyDescent="0.2">
      <c r="A46" s="42"/>
      <c r="B46" s="168" t="s">
        <v>63</v>
      </c>
      <c r="C46" s="169" t="s">
        <v>64</v>
      </c>
      <c r="D46" s="170" t="s">
        <v>26</v>
      </c>
      <c r="E46" s="171"/>
      <c r="F46" s="172">
        <f>F47</f>
        <v>5628.2</v>
      </c>
      <c r="G46" s="172">
        <f>G47</f>
        <v>0</v>
      </c>
      <c r="H46" s="172">
        <f>H47</f>
        <v>5628.2</v>
      </c>
      <c r="I46" s="188">
        <f>I47</f>
        <v>0</v>
      </c>
      <c r="J46" s="189"/>
      <c r="K46" s="188">
        <f>K47</f>
        <v>0</v>
      </c>
      <c r="L46" s="172">
        <f>L47</f>
        <v>5628.2</v>
      </c>
      <c r="M46" s="172">
        <f>M47</f>
        <v>0</v>
      </c>
      <c r="N46" s="304">
        <f>N47</f>
        <v>5628.2</v>
      </c>
      <c r="O46" s="304">
        <f>O47</f>
        <v>5628.2</v>
      </c>
      <c r="P46" s="315"/>
      <c r="Q46" s="367"/>
      <c r="R46" s="401">
        <f t="shared" si="6"/>
        <v>100</v>
      </c>
    </row>
    <row r="47" spans="1:18" ht="63" x14ac:dyDescent="0.2">
      <c r="A47" s="42"/>
      <c r="B47" s="168" t="s">
        <v>35</v>
      </c>
      <c r="C47" s="169" t="s">
        <v>64</v>
      </c>
      <c r="D47" s="170" t="s">
        <v>36</v>
      </c>
      <c r="E47" s="171"/>
      <c r="F47" s="172">
        <v>5628.2</v>
      </c>
      <c r="G47" s="172"/>
      <c r="H47" s="172">
        <f>SUM(F47)+G47</f>
        <v>5628.2</v>
      </c>
      <c r="I47" s="188">
        <v>0</v>
      </c>
      <c r="J47" s="189"/>
      <c r="K47" s="188">
        <v>0</v>
      </c>
      <c r="L47" s="172">
        <f>SUM(F47)</f>
        <v>5628.2</v>
      </c>
      <c r="M47" s="172">
        <f>SUM(G47)</f>
        <v>0</v>
      </c>
      <c r="N47" s="304">
        <f>SUM(L47)+M47</f>
        <v>5628.2</v>
      </c>
      <c r="O47" s="304">
        <f>SUM(M47)+N47</f>
        <v>5628.2</v>
      </c>
      <c r="P47" s="315"/>
      <c r="Q47" s="367"/>
      <c r="R47" s="401">
        <f t="shared" si="6"/>
        <v>100</v>
      </c>
    </row>
    <row r="48" spans="1:18" ht="31.5" x14ac:dyDescent="0.2">
      <c r="A48" s="42"/>
      <c r="B48" s="168" t="s">
        <v>65</v>
      </c>
      <c r="C48" s="169" t="s">
        <v>66</v>
      </c>
      <c r="D48" s="170" t="s">
        <v>26</v>
      </c>
      <c r="E48" s="171"/>
      <c r="F48" s="172">
        <f>F49</f>
        <v>900</v>
      </c>
      <c r="G48" s="172">
        <f>G49</f>
        <v>0</v>
      </c>
      <c r="H48" s="172">
        <f>H49</f>
        <v>900</v>
      </c>
      <c r="I48" s="188">
        <f>I49</f>
        <v>0</v>
      </c>
      <c r="J48" s="189"/>
      <c r="K48" s="188">
        <f>K49</f>
        <v>0</v>
      </c>
      <c r="L48" s="172">
        <f>L49</f>
        <v>900</v>
      </c>
      <c r="M48" s="172">
        <f>M49</f>
        <v>0</v>
      </c>
      <c r="N48" s="304">
        <f>N49</f>
        <v>900</v>
      </c>
      <c r="O48" s="304">
        <f>O49</f>
        <v>900</v>
      </c>
      <c r="P48" s="315"/>
      <c r="Q48" s="367"/>
      <c r="R48" s="401">
        <f t="shared" si="6"/>
        <v>100</v>
      </c>
    </row>
    <row r="49" spans="1:19" ht="30.75" customHeight="1" x14ac:dyDescent="0.2">
      <c r="A49" s="42"/>
      <c r="B49" s="168" t="s">
        <v>35</v>
      </c>
      <c r="C49" s="169" t="s">
        <v>66</v>
      </c>
      <c r="D49" s="170" t="s">
        <v>36</v>
      </c>
      <c r="E49" s="171"/>
      <c r="F49" s="172">
        <v>900</v>
      </c>
      <c r="G49" s="172"/>
      <c r="H49" s="172">
        <v>900</v>
      </c>
      <c r="I49" s="188">
        <v>0</v>
      </c>
      <c r="J49" s="189"/>
      <c r="K49" s="188">
        <v>0</v>
      </c>
      <c r="L49" s="172">
        <f>SUM(F49)</f>
        <v>900</v>
      </c>
      <c r="M49" s="172">
        <f>SUM(G49)</f>
        <v>0</v>
      </c>
      <c r="N49" s="304">
        <f>SUM(H49)</f>
        <v>900</v>
      </c>
      <c r="O49" s="304">
        <v>900</v>
      </c>
      <c r="P49" s="315"/>
      <c r="Q49" s="367"/>
      <c r="R49" s="401">
        <f t="shared" si="6"/>
        <v>100</v>
      </c>
    </row>
    <row r="50" spans="1:19" ht="1.5" customHeight="1" x14ac:dyDescent="0.2">
      <c r="A50" s="42"/>
      <c r="B50" s="168" t="s">
        <v>67</v>
      </c>
      <c r="C50" s="169" t="s">
        <v>68</v>
      </c>
      <c r="D50" s="170" t="s">
        <v>26</v>
      </c>
      <c r="E50" s="171"/>
      <c r="F50" s="172">
        <f>F51</f>
        <v>0</v>
      </c>
      <c r="G50" s="172">
        <f>G51</f>
        <v>0</v>
      </c>
      <c r="H50" s="172">
        <f>H51</f>
        <v>0</v>
      </c>
      <c r="I50" s="188">
        <f>I51</f>
        <v>0</v>
      </c>
      <c r="J50" s="189"/>
      <c r="K50" s="188">
        <f>K51</f>
        <v>0</v>
      </c>
      <c r="L50" s="172">
        <f>L51</f>
        <v>0</v>
      </c>
      <c r="M50" s="172">
        <f>M51</f>
        <v>0</v>
      </c>
      <c r="N50" s="304">
        <f>N51</f>
        <v>0</v>
      </c>
      <c r="O50" s="308"/>
      <c r="P50" s="320"/>
      <c r="Q50" s="303"/>
      <c r="R50" s="401" t="e">
        <f t="shared" si="6"/>
        <v>#DIV/0!</v>
      </c>
    </row>
    <row r="51" spans="1:19" ht="63" hidden="1" x14ac:dyDescent="0.2">
      <c r="A51" s="42"/>
      <c r="B51" s="168" t="s">
        <v>35</v>
      </c>
      <c r="C51" s="169" t="s">
        <v>68</v>
      </c>
      <c r="D51" s="170" t="s">
        <v>36</v>
      </c>
      <c r="E51" s="171"/>
      <c r="F51" s="172"/>
      <c r="G51" s="172"/>
      <c r="H51" s="172"/>
      <c r="I51" s="188">
        <v>0</v>
      </c>
      <c r="J51" s="189"/>
      <c r="K51" s="188">
        <v>0</v>
      </c>
      <c r="L51" s="172"/>
      <c r="M51" s="172"/>
      <c r="N51" s="304"/>
      <c r="O51" s="308"/>
      <c r="P51" s="320"/>
      <c r="Q51" s="303"/>
      <c r="R51" s="401" t="e">
        <f t="shared" si="6"/>
        <v>#DIV/0!</v>
      </c>
    </row>
    <row r="52" spans="1:19" ht="78.75" x14ac:dyDescent="0.2">
      <c r="A52" s="368"/>
      <c r="B52" s="206" t="s">
        <v>69</v>
      </c>
      <c r="C52" s="207" t="s">
        <v>70</v>
      </c>
      <c r="D52" s="208" t="s">
        <v>26</v>
      </c>
      <c r="E52" s="209"/>
      <c r="F52" s="210">
        <f t="shared" ref="F52:O52" si="9">F53+F72+F69</f>
        <v>134378.6</v>
      </c>
      <c r="G52" s="210">
        <f t="shared" si="9"/>
        <v>1737.5</v>
      </c>
      <c r="H52" s="210">
        <f t="shared" si="9"/>
        <v>136116.1</v>
      </c>
      <c r="I52" s="211">
        <f t="shared" si="9"/>
        <v>27919.600000000002</v>
      </c>
      <c r="J52" s="210">
        <f t="shared" si="9"/>
        <v>14813.1</v>
      </c>
      <c r="K52" s="211">
        <f t="shared" si="9"/>
        <v>42732.700000000004</v>
      </c>
      <c r="L52" s="210">
        <f t="shared" si="9"/>
        <v>162298.20000000001</v>
      </c>
      <c r="M52" s="210">
        <f t="shared" si="9"/>
        <v>16550.599999999999</v>
      </c>
      <c r="N52" s="333">
        <f t="shared" si="9"/>
        <v>178848.80000000002</v>
      </c>
      <c r="O52" s="333">
        <f t="shared" si="9"/>
        <v>178172.60000000003</v>
      </c>
      <c r="P52" s="370"/>
      <c r="Q52" s="371"/>
      <c r="R52" s="401">
        <f t="shared" si="6"/>
        <v>99.621915271447179</v>
      </c>
    </row>
    <row r="53" spans="1:19" ht="36.6" customHeight="1" x14ac:dyDescent="0.2">
      <c r="A53" s="42"/>
      <c r="B53" s="168" t="s">
        <v>71</v>
      </c>
      <c r="C53" s="169" t="s">
        <v>72</v>
      </c>
      <c r="D53" s="170" t="s">
        <v>26</v>
      </c>
      <c r="E53" s="171"/>
      <c r="F53" s="172">
        <f>F54+F63+F67+F61+F59</f>
        <v>122862.1</v>
      </c>
      <c r="G53" s="172">
        <f>G54+G63+G67+G61+G59</f>
        <v>1737.5</v>
      </c>
      <c r="H53" s="172">
        <f>H54+H63+H67+H61+H59</f>
        <v>124599.6</v>
      </c>
      <c r="I53" s="172">
        <f>I54+I63+I67+I61+I65</f>
        <v>26357.100000000002</v>
      </c>
      <c r="J53" s="172">
        <f>SUM(J61)+J54+J63+J65+J59</f>
        <v>14813.1</v>
      </c>
      <c r="K53" s="172">
        <f>K54+K63+K67+K61+K65+K59</f>
        <v>41170.200000000004</v>
      </c>
      <c r="L53" s="172">
        <f>SUM(F53+I53)</f>
        <v>149219.20000000001</v>
      </c>
      <c r="M53" s="172">
        <f>M54+M63+M67+M69+M61+M59</f>
        <v>16550.599999999999</v>
      </c>
      <c r="N53" s="304">
        <f>H53+K53</f>
        <v>165769.80000000002</v>
      </c>
      <c r="O53" s="304">
        <f>SUM(O54+O59+O61+O63+O65+O67)</f>
        <v>165162.50000000003</v>
      </c>
      <c r="P53" s="321"/>
      <c r="Q53" s="310"/>
      <c r="R53" s="401">
        <f t="shared" si="6"/>
        <v>99.633648589791392</v>
      </c>
      <c r="S53" s="276"/>
    </row>
    <row r="54" spans="1:19" ht="47.25" x14ac:dyDescent="0.2">
      <c r="A54" s="42"/>
      <c r="B54" s="168" t="s">
        <v>39</v>
      </c>
      <c r="C54" s="169" t="s">
        <v>73</v>
      </c>
      <c r="D54" s="170" t="s">
        <v>26</v>
      </c>
      <c r="E54" s="171"/>
      <c r="F54" s="172">
        <f>SUM(F57+F58+F56)+F55</f>
        <v>115183.5</v>
      </c>
      <c r="G54" s="172">
        <f>G55+G56+G57+G58</f>
        <v>0</v>
      </c>
      <c r="H54" s="172">
        <f>H55+H56+H57+H58</f>
        <v>115183.5</v>
      </c>
      <c r="I54" s="188">
        <f>I55+I56+I57+I58</f>
        <v>22010.9</v>
      </c>
      <c r="J54" s="189">
        <f>SUM(J57+J55)</f>
        <v>7970.7000000000007</v>
      </c>
      <c r="K54" s="188">
        <f>K55+K56+K57+K58</f>
        <v>29981.600000000002</v>
      </c>
      <c r="L54" s="172">
        <f>L55+L56+L57+L58</f>
        <v>137194.4</v>
      </c>
      <c r="M54" s="172">
        <f>M55+M56+M57+M58</f>
        <v>7970.7000000000007</v>
      </c>
      <c r="N54" s="304">
        <f>SUM(N55+N56+N57+N58)</f>
        <v>133024.6</v>
      </c>
      <c r="O54" s="309">
        <f>SUM(O55+O56+O57+O58)</f>
        <v>144557.80000000002</v>
      </c>
      <c r="P54" s="319"/>
      <c r="Q54" s="303"/>
      <c r="R54" s="401">
        <f t="shared" si="6"/>
        <v>108.6699753278717</v>
      </c>
    </row>
    <row r="55" spans="1:19" ht="64.150000000000006" customHeight="1" x14ac:dyDescent="0.2">
      <c r="A55" s="42"/>
      <c r="B55" s="168" t="s">
        <v>31</v>
      </c>
      <c r="C55" s="169" t="s">
        <v>73</v>
      </c>
      <c r="D55" s="170" t="s">
        <v>32</v>
      </c>
      <c r="E55" s="171"/>
      <c r="F55" s="172">
        <v>20610.5</v>
      </c>
      <c r="G55" s="172"/>
      <c r="H55" s="172">
        <f>F55+G55</f>
        <v>20610.5</v>
      </c>
      <c r="I55" s="188">
        <v>4193.2</v>
      </c>
      <c r="J55" s="189">
        <f>1334.9-195.3</f>
        <v>1139.6000000000001</v>
      </c>
      <c r="K55" s="188">
        <f>I55+J55</f>
        <v>5332.8</v>
      </c>
      <c r="L55" s="172">
        <f>F55+I55</f>
        <v>24803.7</v>
      </c>
      <c r="M55" s="172">
        <f>G55+J55</f>
        <v>1139.6000000000001</v>
      </c>
      <c r="N55" s="304">
        <v>26159.4</v>
      </c>
      <c r="O55" s="309">
        <v>26121.9</v>
      </c>
      <c r="P55" s="319"/>
      <c r="Q55" s="303"/>
      <c r="R55" s="401">
        <f t="shared" si="6"/>
        <v>99.856648088258908</v>
      </c>
    </row>
    <row r="56" spans="1:19" ht="48.75" customHeight="1" x14ac:dyDescent="0.2">
      <c r="A56" s="42"/>
      <c r="B56" s="168" t="s">
        <v>35</v>
      </c>
      <c r="C56" s="169" t="s">
        <v>73</v>
      </c>
      <c r="D56" s="170" t="s">
        <v>36</v>
      </c>
      <c r="E56" s="171"/>
      <c r="F56" s="172">
        <v>6675.7</v>
      </c>
      <c r="G56" s="172"/>
      <c r="H56" s="172">
        <f>SUM(F56)+G56</f>
        <v>6675.7</v>
      </c>
      <c r="I56" s="188">
        <v>0</v>
      </c>
      <c r="J56" s="189"/>
      <c r="K56" s="188">
        <v>0</v>
      </c>
      <c r="L56" s="172">
        <f>SUM(F56)</f>
        <v>6675.7</v>
      </c>
      <c r="M56" s="172">
        <f>SUM(G56)</f>
        <v>0</v>
      </c>
      <c r="N56" s="304">
        <f>SUM(H56)</f>
        <v>6675.7</v>
      </c>
      <c r="O56" s="309">
        <v>6112.8</v>
      </c>
      <c r="P56" s="319"/>
      <c r="Q56" s="303"/>
      <c r="R56" s="401">
        <f t="shared" si="6"/>
        <v>91.567925461000357</v>
      </c>
    </row>
    <row r="57" spans="1:19" ht="63" x14ac:dyDescent="0.2">
      <c r="A57" s="42"/>
      <c r="B57" s="168" t="s">
        <v>74</v>
      </c>
      <c r="C57" s="169" t="s">
        <v>73</v>
      </c>
      <c r="D57" s="170" t="s">
        <v>75</v>
      </c>
      <c r="E57" s="171"/>
      <c r="F57" s="172">
        <f>86661+1213.2</f>
        <v>87874.2</v>
      </c>
      <c r="G57" s="172"/>
      <c r="H57" s="172">
        <f>86661+1213.2+G57</f>
        <v>87874.2</v>
      </c>
      <c r="I57" s="188">
        <v>17817.7</v>
      </c>
      <c r="J57" s="189">
        <f>6635.8+195.3</f>
        <v>6831.1</v>
      </c>
      <c r="K57" s="188">
        <f>I57+J57</f>
        <v>24648.800000000003</v>
      </c>
      <c r="L57" s="172">
        <f>86661+1213.2+I57</f>
        <v>105691.9</v>
      </c>
      <c r="M57" s="172">
        <f>G57+J57</f>
        <v>6831.1</v>
      </c>
      <c r="N57" s="304">
        <v>100166.39999999999</v>
      </c>
      <c r="O57" s="309">
        <v>112306.9</v>
      </c>
      <c r="P57" s="319"/>
      <c r="Q57" s="303"/>
      <c r="R57" s="401">
        <f t="shared" si="6"/>
        <v>112.12033176793814</v>
      </c>
    </row>
    <row r="58" spans="1:19" ht="18.75" x14ac:dyDescent="0.2">
      <c r="A58" s="42"/>
      <c r="B58" s="168" t="s">
        <v>41</v>
      </c>
      <c r="C58" s="169" t="s">
        <v>73</v>
      </c>
      <c r="D58" s="170" t="s">
        <v>42</v>
      </c>
      <c r="E58" s="171"/>
      <c r="F58" s="172">
        <v>23.1</v>
      </c>
      <c r="G58" s="172"/>
      <c r="H58" s="172">
        <v>23.1</v>
      </c>
      <c r="I58" s="188">
        <v>0</v>
      </c>
      <c r="J58" s="189"/>
      <c r="K58" s="188">
        <v>0</v>
      </c>
      <c r="L58" s="172">
        <f>SUM(F58)</f>
        <v>23.1</v>
      </c>
      <c r="M58" s="172">
        <f>SUM(G58)</f>
        <v>0</v>
      </c>
      <c r="N58" s="304">
        <f>SUM(H58)</f>
        <v>23.1</v>
      </c>
      <c r="O58" s="309">
        <v>16.2</v>
      </c>
      <c r="P58" s="319"/>
      <c r="Q58" s="303"/>
      <c r="R58" s="401">
        <f t="shared" si="6"/>
        <v>70.129870129870113</v>
      </c>
    </row>
    <row r="59" spans="1:19" ht="47.25" x14ac:dyDescent="0.2">
      <c r="A59" s="42"/>
      <c r="B59" s="168" t="s">
        <v>211</v>
      </c>
      <c r="C59" s="169" t="s">
        <v>495</v>
      </c>
      <c r="D59" s="170"/>
      <c r="E59" s="171"/>
      <c r="F59" s="172">
        <f>F60</f>
        <v>797.2</v>
      </c>
      <c r="G59" s="172">
        <f t="shared" ref="G59:O59" si="10">G60</f>
        <v>0</v>
      </c>
      <c r="H59" s="172">
        <f t="shared" si="10"/>
        <v>797.2</v>
      </c>
      <c r="I59" s="172">
        <f t="shared" si="10"/>
        <v>0</v>
      </c>
      <c r="J59" s="172">
        <f t="shared" si="10"/>
        <v>5000</v>
      </c>
      <c r="K59" s="172">
        <f t="shared" si="10"/>
        <v>5000</v>
      </c>
      <c r="L59" s="172">
        <f t="shared" si="10"/>
        <v>797.2</v>
      </c>
      <c r="M59" s="172">
        <f t="shared" si="10"/>
        <v>5000</v>
      </c>
      <c r="N59" s="304">
        <f t="shared" si="10"/>
        <v>5797.2</v>
      </c>
      <c r="O59" s="304">
        <f t="shared" si="10"/>
        <v>5797.2</v>
      </c>
      <c r="P59" s="321"/>
      <c r="Q59" s="303"/>
      <c r="R59" s="401">
        <f t="shared" si="6"/>
        <v>100</v>
      </c>
    </row>
    <row r="60" spans="1:19" ht="63" x14ac:dyDescent="0.2">
      <c r="A60" s="42"/>
      <c r="B60" s="168" t="s">
        <v>74</v>
      </c>
      <c r="C60" s="169" t="s">
        <v>495</v>
      </c>
      <c r="D60" s="170" t="s">
        <v>75</v>
      </c>
      <c r="E60" s="171"/>
      <c r="F60" s="172">
        <v>797.2</v>
      </c>
      <c r="G60" s="172"/>
      <c r="H60" s="172">
        <f>F60+G60</f>
        <v>797.2</v>
      </c>
      <c r="I60" s="188"/>
      <c r="J60" s="189">
        <v>5000</v>
      </c>
      <c r="K60" s="188">
        <f>SUM(J60)</f>
        <v>5000</v>
      </c>
      <c r="L60" s="172">
        <f>SUM(F60)</f>
        <v>797.2</v>
      </c>
      <c r="M60" s="172">
        <f>SUM(J60)</f>
        <v>5000</v>
      </c>
      <c r="N60" s="304">
        <f>L60+M60</f>
        <v>5797.2</v>
      </c>
      <c r="O60" s="309">
        <v>5797.2</v>
      </c>
      <c r="P60" s="319"/>
      <c r="Q60" s="303"/>
      <c r="R60" s="401">
        <f t="shared" si="6"/>
        <v>100</v>
      </c>
    </row>
    <row r="61" spans="1:19" ht="42.75" customHeight="1" x14ac:dyDescent="0.2">
      <c r="A61" s="42"/>
      <c r="B61" s="197" t="s">
        <v>76</v>
      </c>
      <c r="C61" s="169" t="s">
        <v>77</v>
      </c>
      <c r="D61" s="170"/>
      <c r="E61" s="171"/>
      <c r="F61" s="172">
        <f>SUM(F62)</f>
        <v>2648.7</v>
      </c>
      <c r="G61" s="172">
        <f>SUM(G62)</f>
        <v>0</v>
      </c>
      <c r="H61" s="172">
        <f>SUM(F61)+G61</f>
        <v>2648.7</v>
      </c>
      <c r="I61" s="188">
        <f>SUM(I62)</f>
        <v>0</v>
      </c>
      <c r="J61" s="189">
        <f>SUM(J62)</f>
        <v>0</v>
      </c>
      <c r="K61" s="188">
        <f>SUM(K62)</f>
        <v>0</v>
      </c>
      <c r="L61" s="172">
        <f>SUM(L62)</f>
        <v>2648.7</v>
      </c>
      <c r="M61" s="172">
        <f>SUM(J61)+G61</f>
        <v>0</v>
      </c>
      <c r="N61" s="304">
        <f>SUM(N62)</f>
        <v>2648.7</v>
      </c>
      <c r="O61" s="304">
        <f>SUM(O62)</f>
        <v>2648.7</v>
      </c>
      <c r="P61" s="321"/>
      <c r="Q61" s="367"/>
      <c r="R61" s="401">
        <f t="shared" si="6"/>
        <v>100</v>
      </c>
    </row>
    <row r="62" spans="1:19" ht="63" x14ac:dyDescent="0.2">
      <c r="A62" s="42"/>
      <c r="B62" s="168" t="s">
        <v>74</v>
      </c>
      <c r="C62" s="169" t="s">
        <v>77</v>
      </c>
      <c r="D62" s="170" t="s">
        <v>75</v>
      </c>
      <c r="E62" s="171"/>
      <c r="F62" s="172">
        <v>2648.7</v>
      </c>
      <c r="G62" s="172"/>
      <c r="H62" s="172">
        <f>SUM(F62)+G62</f>
        <v>2648.7</v>
      </c>
      <c r="I62" s="188">
        <v>0</v>
      </c>
      <c r="J62" s="189"/>
      <c r="K62" s="188">
        <f>SUM(I62)+J62</f>
        <v>0</v>
      </c>
      <c r="L62" s="172">
        <f>SUM(F62+I62)</f>
        <v>2648.7</v>
      </c>
      <c r="M62" s="172">
        <f>SUM(J62)+G62</f>
        <v>0</v>
      </c>
      <c r="N62" s="304">
        <f>SUM(K62)+H62</f>
        <v>2648.7</v>
      </c>
      <c r="O62" s="309">
        <v>2648.7</v>
      </c>
      <c r="P62" s="319"/>
      <c r="Q62" s="303"/>
      <c r="R62" s="401">
        <f t="shared" si="6"/>
        <v>100</v>
      </c>
    </row>
    <row r="63" spans="1:19" ht="36" customHeight="1" x14ac:dyDescent="0.2">
      <c r="A63" s="42"/>
      <c r="B63" s="168" t="s">
        <v>78</v>
      </c>
      <c r="C63" s="169" t="s">
        <v>79</v>
      </c>
      <c r="D63" s="170" t="s">
        <v>26</v>
      </c>
      <c r="E63" s="171"/>
      <c r="F63" s="172">
        <f t="shared" ref="F63:O63" si="11">F64</f>
        <v>3606.6</v>
      </c>
      <c r="G63" s="172">
        <f t="shared" si="11"/>
        <v>1737.5</v>
      </c>
      <c r="H63" s="172">
        <f t="shared" si="11"/>
        <v>5344.1</v>
      </c>
      <c r="I63" s="188">
        <f t="shared" si="11"/>
        <v>0</v>
      </c>
      <c r="J63" s="189">
        <f t="shared" si="11"/>
        <v>1842.4</v>
      </c>
      <c r="K63" s="188">
        <f t="shared" si="11"/>
        <v>1842.4</v>
      </c>
      <c r="L63" s="172">
        <f t="shared" si="11"/>
        <v>3606.6</v>
      </c>
      <c r="M63" s="172">
        <f t="shared" si="11"/>
        <v>3579.9</v>
      </c>
      <c r="N63" s="304">
        <f t="shared" si="11"/>
        <v>7186.5</v>
      </c>
      <c r="O63" s="304">
        <f t="shared" si="11"/>
        <v>7186.5</v>
      </c>
      <c r="P63" s="321"/>
      <c r="Q63" s="367"/>
      <c r="R63" s="401">
        <f t="shared" si="6"/>
        <v>100</v>
      </c>
    </row>
    <row r="64" spans="1:19" ht="63" x14ac:dyDescent="0.2">
      <c r="A64" s="42"/>
      <c r="B64" s="168" t="s">
        <v>74</v>
      </c>
      <c r="C64" s="169" t="s">
        <v>79</v>
      </c>
      <c r="D64" s="170" t="s">
        <v>75</v>
      </c>
      <c r="E64" s="171"/>
      <c r="F64" s="172">
        <v>3606.6</v>
      </c>
      <c r="G64" s="172">
        <f>600+1137.5</f>
        <v>1737.5</v>
      </c>
      <c r="H64" s="172">
        <f>SUM(F64)+G64</f>
        <v>5344.1</v>
      </c>
      <c r="I64" s="188">
        <v>0</v>
      </c>
      <c r="J64" s="189">
        <f>1842.4</f>
        <v>1842.4</v>
      </c>
      <c r="K64" s="188">
        <f>SUM(I64:J64)</f>
        <v>1842.4</v>
      </c>
      <c r="L64" s="172">
        <f>SUM(F64)</f>
        <v>3606.6</v>
      </c>
      <c r="M64" s="254">
        <f>G64+J64</f>
        <v>3579.9</v>
      </c>
      <c r="N64" s="304">
        <v>7186.5</v>
      </c>
      <c r="O64" s="304">
        <v>7186.5</v>
      </c>
      <c r="P64" s="321"/>
      <c r="Q64" s="303"/>
      <c r="R64" s="401">
        <f t="shared" si="6"/>
        <v>100</v>
      </c>
    </row>
    <row r="65" spans="1:18" ht="126" x14ac:dyDescent="0.2">
      <c r="A65" s="42"/>
      <c r="B65" s="168" t="s">
        <v>484</v>
      </c>
      <c r="C65" s="169" t="s">
        <v>483</v>
      </c>
      <c r="D65" s="170" t="s">
        <v>26</v>
      </c>
      <c r="E65" s="171"/>
      <c r="F65" s="172"/>
      <c r="G65" s="172"/>
      <c r="H65" s="172"/>
      <c r="I65" s="188">
        <v>500</v>
      </c>
      <c r="J65" s="189">
        <f>J66</f>
        <v>0</v>
      </c>
      <c r="K65" s="189">
        <f>K66</f>
        <v>500</v>
      </c>
      <c r="L65" s="172">
        <f>F65+I65</f>
        <v>500</v>
      </c>
      <c r="M65" s="172">
        <f>G65+J65</f>
        <v>0</v>
      </c>
      <c r="N65" s="304">
        <f>N66</f>
        <v>500</v>
      </c>
      <c r="O65" s="304">
        <f>O66</f>
        <v>500</v>
      </c>
      <c r="P65" s="315"/>
      <c r="Q65" s="367"/>
      <c r="R65" s="401">
        <f t="shared" si="6"/>
        <v>100</v>
      </c>
    </row>
    <row r="66" spans="1:18" ht="63" x14ac:dyDescent="0.2">
      <c r="A66" s="42"/>
      <c r="B66" s="168" t="s">
        <v>74</v>
      </c>
      <c r="C66" s="169" t="s">
        <v>483</v>
      </c>
      <c r="D66" s="170" t="s">
        <v>75</v>
      </c>
      <c r="E66" s="171"/>
      <c r="F66" s="172"/>
      <c r="G66" s="172"/>
      <c r="H66" s="172"/>
      <c r="I66" s="188">
        <v>500</v>
      </c>
      <c r="J66" s="189"/>
      <c r="K66" s="188">
        <f>SUM(I66:J66)</f>
        <v>500</v>
      </c>
      <c r="L66" s="172">
        <f>F66+I66</f>
        <v>500</v>
      </c>
      <c r="M66" s="172">
        <f>G66+J66</f>
        <v>0</v>
      </c>
      <c r="N66" s="304">
        <f>SUM(L66:M66)</f>
        <v>500</v>
      </c>
      <c r="O66" s="309">
        <v>500</v>
      </c>
      <c r="P66" s="319"/>
      <c r="Q66" s="303"/>
      <c r="R66" s="401">
        <f t="shared" si="6"/>
        <v>100</v>
      </c>
    </row>
    <row r="67" spans="1:18" ht="33" customHeight="1" x14ac:dyDescent="0.2">
      <c r="A67" s="42"/>
      <c r="B67" s="168" t="s">
        <v>80</v>
      </c>
      <c r="C67" s="169" t="s">
        <v>81</v>
      </c>
      <c r="D67" s="170" t="s">
        <v>26</v>
      </c>
      <c r="E67" s="171"/>
      <c r="F67" s="172">
        <f>F68</f>
        <v>626.1</v>
      </c>
      <c r="G67" s="172">
        <f>G68</f>
        <v>0</v>
      </c>
      <c r="H67" s="172">
        <f>H68</f>
        <v>626.1</v>
      </c>
      <c r="I67" s="188">
        <f>I68</f>
        <v>3846.2</v>
      </c>
      <c r="J67" s="189"/>
      <c r="K67" s="188">
        <f>K68</f>
        <v>3846.2</v>
      </c>
      <c r="L67" s="254">
        <f>L68</f>
        <v>4472.3</v>
      </c>
      <c r="M67" s="172">
        <f>M68</f>
        <v>0</v>
      </c>
      <c r="N67" s="304">
        <f>N68</f>
        <v>4472.3</v>
      </c>
      <c r="O67" s="304">
        <f>O68</f>
        <v>4472.3</v>
      </c>
      <c r="P67" s="315"/>
      <c r="Q67" s="367"/>
      <c r="R67" s="401">
        <f t="shared" si="6"/>
        <v>100</v>
      </c>
    </row>
    <row r="68" spans="1:18" ht="63" x14ac:dyDescent="0.2">
      <c r="A68" s="42"/>
      <c r="B68" s="168" t="s">
        <v>74</v>
      </c>
      <c r="C68" s="169" t="s">
        <v>81</v>
      </c>
      <c r="D68" s="170" t="s">
        <v>75</v>
      </c>
      <c r="E68" s="171"/>
      <c r="F68" s="172">
        <v>626.1</v>
      </c>
      <c r="G68" s="172"/>
      <c r="H68" s="172">
        <v>626.1</v>
      </c>
      <c r="I68" s="188">
        <v>3846.2</v>
      </c>
      <c r="J68" s="189"/>
      <c r="K68" s="188">
        <v>3846.2</v>
      </c>
      <c r="L68" s="254">
        <f>F68+I68</f>
        <v>4472.3</v>
      </c>
      <c r="M68" s="172">
        <f>SUM(G68)</f>
        <v>0</v>
      </c>
      <c r="N68" s="304">
        <f>H68+K68</f>
        <v>4472.3</v>
      </c>
      <c r="O68" s="309">
        <v>4472.3</v>
      </c>
      <c r="P68" s="319"/>
      <c r="Q68" s="303"/>
      <c r="R68" s="401">
        <f t="shared" si="6"/>
        <v>100</v>
      </c>
    </row>
    <row r="69" spans="1:18" ht="31.5" x14ac:dyDescent="0.2">
      <c r="A69" s="42"/>
      <c r="B69" s="168" t="s">
        <v>82</v>
      </c>
      <c r="C69" s="169" t="s">
        <v>83</v>
      </c>
      <c r="D69" s="170"/>
      <c r="E69" s="171"/>
      <c r="F69" s="172">
        <v>254.4</v>
      </c>
      <c r="G69" s="172"/>
      <c r="H69" s="172">
        <v>254.4</v>
      </c>
      <c r="I69" s="188">
        <v>1562.5</v>
      </c>
      <c r="J69" s="189"/>
      <c r="K69" s="188">
        <v>1562.5</v>
      </c>
      <c r="L69" s="172">
        <f>254.4+I69</f>
        <v>1816.9</v>
      </c>
      <c r="M69" s="172"/>
      <c r="N69" s="304">
        <f>254.4+K69</f>
        <v>1816.9</v>
      </c>
      <c r="O69" s="304">
        <f>L69</f>
        <v>1816.9</v>
      </c>
      <c r="P69" s="321"/>
      <c r="Q69" s="367"/>
      <c r="R69" s="401">
        <f t="shared" si="6"/>
        <v>100</v>
      </c>
    </row>
    <row r="70" spans="1:18" ht="21" customHeight="1" x14ac:dyDescent="0.2">
      <c r="A70" s="42"/>
      <c r="B70" s="168" t="s">
        <v>84</v>
      </c>
      <c r="C70" s="169" t="s">
        <v>85</v>
      </c>
      <c r="D70" s="170"/>
      <c r="E70" s="171"/>
      <c r="F70" s="172">
        <v>254.4</v>
      </c>
      <c r="G70" s="172"/>
      <c r="H70" s="172">
        <v>254.4</v>
      </c>
      <c r="I70" s="188">
        <v>1562.5</v>
      </c>
      <c r="J70" s="189"/>
      <c r="K70" s="188">
        <v>1562.5</v>
      </c>
      <c r="L70" s="172">
        <f>254.4+I70</f>
        <v>1816.9</v>
      </c>
      <c r="M70" s="172"/>
      <c r="N70" s="304">
        <f>254.4+K70</f>
        <v>1816.9</v>
      </c>
      <c r="O70" s="304">
        <f>L70</f>
        <v>1816.9</v>
      </c>
      <c r="P70" s="321"/>
      <c r="Q70" s="367"/>
      <c r="R70" s="401">
        <f t="shared" si="6"/>
        <v>100</v>
      </c>
    </row>
    <row r="71" spans="1:18" ht="63" x14ac:dyDescent="0.2">
      <c r="A71" s="42"/>
      <c r="B71" s="168" t="s">
        <v>74</v>
      </c>
      <c r="C71" s="169" t="s">
        <v>83</v>
      </c>
      <c r="D71" s="170" t="s">
        <v>75</v>
      </c>
      <c r="E71" s="171"/>
      <c r="F71" s="172">
        <v>254.4</v>
      </c>
      <c r="G71" s="172"/>
      <c r="H71" s="172">
        <v>254.4</v>
      </c>
      <c r="I71" s="188">
        <v>1562.5</v>
      </c>
      <c r="J71" s="189"/>
      <c r="K71" s="188">
        <v>1562.5</v>
      </c>
      <c r="L71" s="172">
        <f>254.4+I71</f>
        <v>1816.9</v>
      </c>
      <c r="M71" s="172"/>
      <c r="N71" s="304">
        <f>254.4+K71</f>
        <v>1816.9</v>
      </c>
      <c r="O71" s="311">
        <v>1816.9</v>
      </c>
      <c r="P71" s="322"/>
      <c r="Q71" s="367"/>
      <c r="R71" s="401">
        <f t="shared" si="6"/>
        <v>100</v>
      </c>
    </row>
    <row r="72" spans="1:18" ht="36" customHeight="1" x14ac:dyDescent="0.2">
      <c r="A72" s="42"/>
      <c r="B72" s="168" t="s">
        <v>86</v>
      </c>
      <c r="C72" s="169" t="s">
        <v>87</v>
      </c>
      <c r="D72" s="170" t="s">
        <v>26</v>
      </c>
      <c r="E72" s="171"/>
      <c r="F72" s="172">
        <f>F73</f>
        <v>11262.1</v>
      </c>
      <c r="G72" s="172">
        <f>G73</f>
        <v>0</v>
      </c>
      <c r="H72" s="172">
        <f>H73</f>
        <v>11262.1</v>
      </c>
      <c r="I72" s="188">
        <f>I73</f>
        <v>0</v>
      </c>
      <c r="J72" s="189"/>
      <c r="K72" s="188">
        <f>K73</f>
        <v>0</v>
      </c>
      <c r="L72" s="172">
        <f>L73</f>
        <v>11262.1</v>
      </c>
      <c r="M72" s="172">
        <f>M73</f>
        <v>0</v>
      </c>
      <c r="N72" s="304">
        <f>N73</f>
        <v>11262.1</v>
      </c>
      <c r="O72" s="304">
        <f>O73</f>
        <v>11193.199999999999</v>
      </c>
      <c r="P72" s="321"/>
      <c r="Q72" s="303"/>
      <c r="R72" s="401">
        <f t="shared" si="6"/>
        <v>99.388213565853604</v>
      </c>
    </row>
    <row r="73" spans="1:18" ht="47.25" x14ac:dyDescent="0.2">
      <c r="A73" s="42"/>
      <c r="B73" s="168" t="s">
        <v>39</v>
      </c>
      <c r="C73" s="169" t="s">
        <v>88</v>
      </c>
      <c r="D73" s="170" t="s">
        <v>26</v>
      </c>
      <c r="E73" s="171"/>
      <c r="F73" s="172">
        <f>F74+F75+F76</f>
        <v>11262.1</v>
      </c>
      <c r="G73" s="172">
        <f>G74+G75+G76</f>
        <v>0</v>
      </c>
      <c r="H73" s="172">
        <f>H74+H75+H76</f>
        <v>11262.1</v>
      </c>
      <c r="I73" s="188">
        <f>I74+I75+I76</f>
        <v>0</v>
      </c>
      <c r="J73" s="189"/>
      <c r="K73" s="188">
        <f>K74+K75+K76</f>
        <v>0</v>
      </c>
      <c r="L73" s="172">
        <f>L74+L75+L76</f>
        <v>11262.1</v>
      </c>
      <c r="M73" s="172">
        <f>M74+M75+M76</f>
        <v>0</v>
      </c>
      <c r="N73" s="304">
        <f>N74+N75+N76</f>
        <v>11262.1</v>
      </c>
      <c r="O73" s="304">
        <f>O74+O75+O76</f>
        <v>11193.199999999999</v>
      </c>
      <c r="P73" s="321"/>
      <c r="Q73" s="303"/>
      <c r="R73" s="401">
        <f t="shared" si="6"/>
        <v>99.388213565853604</v>
      </c>
    </row>
    <row r="74" spans="1:18" ht="70.150000000000006" customHeight="1" x14ac:dyDescent="0.2">
      <c r="A74" s="42"/>
      <c r="B74" s="168" t="s">
        <v>31</v>
      </c>
      <c r="C74" s="169" t="s">
        <v>88</v>
      </c>
      <c r="D74" s="170" t="s">
        <v>32</v>
      </c>
      <c r="E74" s="171"/>
      <c r="F74" s="172">
        <v>9834.1</v>
      </c>
      <c r="G74" s="172">
        <v>100</v>
      </c>
      <c r="H74" s="172">
        <f>SUM(F74)+G74</f>
        <v>9934.1</v>
      </c>
      <c r="I74" s="188">
        <v>0</v>
      </c>
      <c r="J74" s="189"/>
      <c r="K74" s="188">
        <v>0</v>
      </c>
      <c r="L74" s="172">
        <f t="shared" ref="L74:N75" si="12">SUM(F74)</f>
        <v>9834.1</v>
      </c>
      <c r="M74" s="172">
        <f t="shared" si="12"/>
        <v>100</v>
      </c>
      <c r="N74" s="304">
        <f t="shared" si="12"/>
        <v>9934.1</v>
      </c>
      <c r="O74" s="309">
        <v>9931.2999999999993</v>
      </c>
      <c r="P74" s="319"/>
      <c r="Q74" s="303"/>
      <c r="R74" s="401">
        <f t="shared" si="6"/>
        <v>99.971814255946683</v>
      </c>
    </row>
    <row r="75" spans="1:18" ht="49.5" customHeight="1" x14ac:dyDescent="0.2">
      <c r="A75" s="42"/>
      <c r="B75" s="168" t="s">
        <v>35</v>
      </c>
      <c r="C75" s="169" t="s">
        <v>88</v>
      </c>
      <c r="D75" s="170" t="s">
        <v>36</v>
      </c>
      <c r="E75" s="171"/>
      <c r="F75" s="172">
        <v>1426.9</v>
      </c>
      <c r="G75" s="172">
        <v>-100</v>
      </c>
      <c r="H75" s="172">
        <f>SUM(F75)+G75</f>
        <v>1326.9</v>
      </c>
      <c r="I75" s="188">
        <v>0</v>
      </c>
      <c r="J75" s="189"/>
      <c r="K75" s="188">
        <v>0</v>
      </c>
      <c r="L75" s="172">
        <f t="shared" si="12"/>
        <v>1426.9</v>
      </c>
      <c r="M75" s="172">
        <f t="shared" si="12"/>
        <v>-100</v>
      </c>
      <c r="N75" s="304">
        <f t="shared" si="12"/>
        <v>1326.9</v>
      </c>
      <c r="O75" s="309">
        <v>1260.9000000000001</v>
      </c>
      <c r="P75" s="319"/>
      <c r="Q75" s="303"/>
      <c r="R75" s="401">
        <f t="shared" si="6"/>
        <v>95.026000452181776</v>
      </c>
    </row>
    <row r="76" spans="1:18" ht="18.75" x14ac:dyDescent="0.2">
      <c r="A76" s="42"/>
      <c r="B76" s="168" t="s">
        <v>41</v>
      </c>
      <c r="C76" s="169" t="s">
        <v>88</v>
      </c>
      <c r="D76" s="170" t="s">
        <v>42</v>
      </c>
      <c r="E76" s="171"/>
      <c r="F76" s="172">
        <v>1.1000000000000001</v>
      </c>
      <c r="G76" s="172"/>
      <c r="H76" s="172">
        <v>1.1000000000000001</v>
      </c>
      <c r="I76" s="188">
        <v>0</v>
      </c>
      <c r="J76" s="189"/>
      <c r="K76" s="188">
        <v>0</v>
      </c>
      <c r="L76" s="172">
        <v>1.1000000000000001</v>
      </c>
      <c r="M76" s="172"/>
      <c r="N76" s="304">
        <v>1.1000000000000001</v>
      </c>
      <c r="O76" s="309">
        <v>1</v>
      </c>
      <c r="P76" s="319"/>
      <c r="Q76" s="303"/>
      <c r="R76" s="401">
        <f t="shared" si="6"/>
        <v>90.909090909090907</v>
      </c>
    </row>
    <row r="77" spans="1:18" ht="47.25" x14ac:dyDescent="0.2">
      <c r="A77" s="368"/>
      <c r="B77" s="168" t="s">
        <v>89</v>
      </c>
      <c r="C77" s="169" t="s">
        <v>90</v>
      </c>
      <c r="D77" s="208" t="s">
        <v>26</v>
      </c>
      <c r="E77" s="209"/>
      <c r="F77" s="210">
        <f t="shared" ref="F77:O78" si="13">F78</f>
        <v>3138</v>
      </c>
      <c r="G77" s="210">
        <f t="shared" si="13"/>
        <v>0</v>
      </c>
      <c r="H77" s="210">
        <f t="shared" si="13"/>
        <v>3138</v>
      </c>
      <c r="I77" s="211">
        <f t="shared" si="13"/>
        <v>0</v>
      </c>
      <c r="J77" s="210">
        <f t="shared" si="13"/>
        <v>0</v>
      </c>
      <c r="K77" s="211">
        <f t="shared" si="13"/>
        <v>0</v>
      </c>
      <c r="L77" s="210">
        <f t="shared" si="13"/>
        <v>3138</v>
      </c>
      <c r="M77" s="210">
        <f t="shared" si="13"/>
        <v>0</v>
      </c>
      <c r="N77" s="333">
        <f t="shared" si="13"/>
        <v>3138</v>
      </c>
      <c r="O77" s="333">
        <f t="shared" si="13"/>
        <v>3134</v>
      </c>
      <c r="P77" s="370"/>
      <c r="Q77" s="367"/>
      <c r="R77" s="401">
        <f t="shared" si="6"/>
        <v>99.872530274059912</v>
      </c>
    </row>
    <row r="78" spans="1:18" ht="63" x14ac:dyDescent="0.2">
      <c r="A78" s="42"/>
      <c r="B78" s="168" t="s">
        <v>91</v>
      </c>
      <c r="C78" s="169" t="s">
        <v>92</v>
      </c>
      <c r="D78" s="170" t="s">
        <v>26</v>
      </c>
      <c r="E78" s="171"/>
      <c r="F78" s="172">
        <f>F79+F85</f>
        <v>3138</v>
      </c>
      <c r="G78" s="172">
        <f>G79+G85</f>
        <v>0</v>
      </c>
      <c r="H78" s="172">
        <f>H79+H85</f>
        <v>3138</v>
      </c>
      <c r="I78" s="188">
        <f t="shared" si="13"/>
        <v>0</v>
      </c>
      <c r="J78" s="189"/>
      <c r="K78" s="188">
        <f t="shared" si="13"/>
        <v>0</v>
      </c>
      <c r="L78" s="172">
        <f>L79+L85</f>
        <v>3138</v>
      </c>
      <c r="M78" s="172">
        <f>M79+M85</f>
        <v>0</v>
      </c>
      <c r="N78" s="304">
        <f>N79+N85</f>
        <v>3138</v>
      </c>
      <c r="O78" s="304">
        <f>O79+O85</f>
        <v>3134</v>
      </c>
      <c r="P78" s="315"/>
      <c r="Q78" s="367"/>
      <c r="R78" s="401">
        <f t="shared" si="6"/>
        <v>99.872530274059912</v>
      </c>
    </row>
    <row r="79" spans="1:18" ht="34.5" customHeight="1" x14ac:dyDescent="0.2">
      <c r="A79" s="42"/>
      <c r="B79" s="168" t="s">
        <v>93</v>
      </c>
      <c r="C79" s="169" t="s">
        <v>94</v>
      </c>
      <c r="D79" s="170" t="s">
        <v>26</v>
      </c>
      <c r="E79" s="171"/>
      <c r="F79" s="172">
        <f>F80+F83+F84</f>
        <v>2090.6</v>
      </c>
      <c r="G79" s="172">
        <f>G80+G83+G84</f>
        <v>-13.1</v>
      </c>
      <c r="H79" s="172">
        <f>H80+H83+H84</f>
        <v>2077.5</v>
      </c>
      <c r="I79" s="188">
        <f>I80+I83</f>
        <v>0</v>
      </c>
      <c r="J79" s="189"/>
      <c r="K79" s="188">
        <f>K80+K83</f>
        <v>0</v>
      </c>
      <c r="L79" s="172">
        <f>L80+L83+L84</f>
        <v>2090.6</v>
      </c>
      <c r="M79" s="172">
        <f>M80+M83+M84</f>
        <v>-13.1</v>
      </c>
      <c r="N79" s="304">
        <f>N80+N83+N84</f>
        <v>2077.5</v>
      </c>
      <c r="O79" s="304">
        <f>O80+O83+O84</f>
        <v>2073.6</v>
      </c>
      <c r="P79" s="315"/>
      <c r="Q79" s="367"/>
      <c r="R79" s="401">
        <f t="shared" si="6"/>
        <v>99.812274368231044</v>
      </c>
    </row>
    <row r="80" spans="1:18" ht="54" customHeight="1" x14ac:dyDescent="0.2">
      <c r="A80" s="42"/>
      <c r="B80" s="168" t="s">
        <v>31</v>
      </c>
      <c r="C80" s="169" t="s">
        <v>94</v>
      </c>
      <c r="D80" s="170" t="s">
        <v>32</v>
      </c>
      <c r="E80" s="171"/>
      <c r="F80" s="172">
        <v>2080.1</v>
      </c>
      <c r="G80" s="172">
        <v>-13.1</v>
      </c>
      <c r="H80" s="172">
        <f>SUM(F80)+G80</f>
        <v>2067</v>
      </c>
      <c r="I80" s="188">
        <v>0</v>
      </c>
      <c r="J80" s="189"/>
      <c r="K80" s="188">
        <v>0</v>
      </c>
      <c r="L80" s="172">
        <f t="shared" ref="L80:N84" si="14">SUM(F80)</f>
        <v>2080.1</v>
      </c>
      <c r="M80" s="172">
        <f t="shared" si="14"/>
        <v>-13.1</v>
      </c>
      <c r="N80" s="304">
        <f t="shared" si="14"/>
        <v>2067</v>
      </c>
      <c r="O80" s="309">
        <v>2063.6</v>
      </c>
      <c r="P80" s="319"/>
      <c r="Q80" s="303"/>
      <c r="R80" s="401">
        <f t="shared" si="6"/>
        <v>99.835510401548134</v>
      </c>
    </row>
    <row r="81" spans="1:18" ht="66" hidden="1" customHeight="1" x14ac:dyDescent="0.2">
      <c r="A81" s="42"/>
      <c r="B81" s="168" t="s">
        <v>502</v>
      </c>
      <c r="C81" s="169" t="s">
        <v>505</v>
      </c>
      <c r="D81" s="170"/>
      <c r="E81" s="171"/>
      <c r="F81" s="172"/>
      <c r="G81" s="172"/>
      <c r="H81" s="172"/>
      <c r="I81" s="188"/>
      <c r="J81" s="189"/>
      <c r="K81" s="188"/>
      <c r="L81" s="172"/>
      <c r="M81" s="172"/>
      <c r="N81" s="304"/>
      <c r="O81" s="309"/>
      <c r="P81" s="319"/>
      <c r="Q81" s="303"/>
      <c r="R81" s="401" t="e">
        <f t="shared" si="6"/>
        <v>#DIV/0!</v>
      </c>
    </row>
    <row r="82" spans="1:18" ht="66" hidden="1" customHeight="1" x14ac:dyDescent="0.2">
      <c r="A82" s="42"/>
      <c r="B82" s="168" t="s">
        <v>31</v>
      </c>
      <c r="C82" s="169" t="s">
        <v>505</v>
      </c>
      <c r="D82" s="170" t="s">
        <v>32</v>
      </c>
      <c r="E82" s="171"/>
      <c r="F82" s="172"/>
      <c r="G82" s="172"/>
      <c r="H82" s="172"/>
      <c r="I82" s="188"/>
      <c r="J82" s="189"/>
      <c r="K82" s="188"/>
      <c r="L82" s="172"/>
      <c r="M82" s="172"/>
      <c r="N82" s="304"/>
      <c r="O82" s="309"/>
      <c r="P82" s="319"/>
      <c r="Q82" s="303"/>
      <c r="R82" s="401" t="e">
        <f t="shared" si="6"/>
        <v>#DIV/0!</v>
      </c>
    </row>
    <row r="83" spans="1:18" ht="50.25" customHeight="1" x14ac:dyDescent="0.2">
      <c r="A83" s="42"/>
      <c r="B83" s="168" t="s">
        <v>35</v>
      </c>
      <c r="C83" s="169" t="s">
        <v>94</v>
      </c>
      <c r="D83" s="170" t="s">
        <v>36</v>
      </c>
      <c r="E83" s="171"/>
      <c r="F83" s="172">
        <v>9.5</v>
      </c>
      <c r="G83" s="172"/>
      <c r="H83" s="172">
        <f>SUM(F83)</f>
        <v>9.5</v>
      </c>
      <c r="I83" s="188">
        <v>0</v>
      </c>
      <c r="J83" s="189"/>
      <c r="K83" s="188">
        <v>0</v>
      </c>
      <c r="L83" s="172">
        <f t="shared" si="14"/>
        <v>9.5</v>
      </c>
      <c r="M83" s="172">
        <f t="shared" si="14"/>
        <v>0</v>
      </c>
      <c r="N83" s="304">
        <f t="shared" si="14"/>
        <v>9.5</v>
      </c>
      <c r="O83" s="309">
        <v>9.5</v>
      </c>
      <c r="P83" s="319"/>
      <c r="Q83" s="303"/>
      <c r="R83" s="401">
        <f t="shared" si="6"/>
        <v>100</v>
      </c>
    </row>
    <row r="84" spans="1:18" ht="18.75" x14ac:dyDescent="0.2">
      <c r="A84" s="42"/>
      <c r="B84" s="168" t="s">
        <v>41</v>
      </c>
      <c r="C84" s="169" t="s">
        <v>94</v>
      </c>
      <c r="D84" s="170" t="s">
        <v>42</v>
      </c>
      <c r="E84" s="171"/>
      <c r="F84" s="172">
        <v>1</v>
      </c>
      <c r="G84" s="172"/>
      <c r="H84" s="172">
        <f>SUM(F84)+G84</f>
        <v>1</v>
      </c>
      <c r="I84" s="188"/>
      <c r="J84" s="189"/>
      <c r="K84" s="188"/>
      <c r="L84" s="172">
        <f t="shared" si="14"/>
        <v>1</v>
      </c>
      <c r="M84" s="172">
        <f t="shared" si="14"/>
        <v>0</v>
      </c>
      <c r="N84" s="304">
        <f t="shared" si="14"/>
        <v>1</v>
      </c>
      <c r="O84" s="309">
        <v>0.5</v>
      </c>
      <c r="P84" s="319"/>
      <c r="Q84" s="303"/>
      <c r="R84" s="401">
        <f t="shared" si="6"/>
        <v>50</v>
      </c>
    </row>
    <row r="85" spans="1:18" ht="157.5" x14ac:dyDescent="0.2">
      <c r="A85" s="42"/>
      <c r="B85" s="168" t="s">
        <v>502</v>
      </c>
      <c r="C85" s="169" t="s">
        <v>505</v>
      </c>
      <c r="D85" s="170"/>
      <c r="E85" s="171"/>
      <c r="F85" s="172">
        <f>SUM(F86)</f>
        <v>1047.4000000000001</v>
      </c>
      <c r="G85" s="172">
        <f>SUM(G86)</f>
        <v>13.1</v>
      </c>
      <c r="H85" s="172">
        <f>SUM(G85)+F85</f>
        <v>1060.5</v>
      </c>
      <c r="I85" s="188"/>
      <c r="J85" s="189"/>
      <c r="K85" s="188"/>
      <c r="L85" s="172">
        <f t="shared" ref="L85:N86" si="15">SUM(F85)</f>
        <v>1047.4000000000001</v>
      </c>
      <c r="M85" s="172">
        <f t="shared" si="15"/>
        <v>13.1</v>
      </c>
      <c r="N85" s="304">
        <f t="shared" si="15"/>
        <v>1060.5</v>
      </c>
      <c r="O85" s="309">
        <v>1060.4000000000001</v>
      </c>
      <c r="P85" s="319"/>
      <c r="Q85" s="303"/>
      <c r="R85" s="401">
        <f t="shared" si="6"/>
        <v>99.990570485619997</v>
      </c>
    </row>
    <row r="86" spans="1:18" ht="126" x14ac:dyDescent="0.2">
      <c r="A86" s="42"/>
      <c r="B86" s="168" t="s">
        <v>31</v>
      </c>
      <c r="C86" s="169" t="s">
        <v>505</v>
      </c>
      <c r="D86" s="170" t="s">
        <v>32</v>
      </c>
      <c r="E86" s="171"/>
      <c r="F86" s="172">
        <v>1047.4000000000001</v>
      </c>
      <c r="G86" s="172">
        <v>13.1</v>
      </c>
      <c r="H86" s="172">
        <f>SUM(G86)+F86</f>
        <v>1060.5</v>
      </c>
      <c r="I86" s="188"/>
      <c r="J86" s="189"/>
      <c r="K86" s="188"/>
      <c r="L86" s="172">
        <f t="shared" si="15"/>
        <v>1047.4000000000001</v>
      </c>
      <c r="M86" s="172">
        <f t="shared" si="15"/>
        <v>13.1</v>
      </c>
      <c r="N86" s="304">
        <f t="shared" si="15"/>
        <v>1060.5</v>
      </c>
      <c r="O86" s="309">
        <v>1060.4000000000001</v>
      </c>
      <c r="P86" s="319"/>
      <c r="Q86" s="303"/>
      <c r="R86" s="401">
        <f t="shared" si="6"/>
        <v>99.990570485619997</v>
      </c>
    </row>
    <row r="87" spans="1:18" ht="47.25" x14ac:dyDescent="0.2">
      <c r="A87" s="42" t="s">
        <v>95</v>
      </c>
      <c r="B87" s="168" t="s">
        <v>96</v>
      </c>
      <c r="C87" s="169" t="s">
        <v>97</v>
      </c>
      <c r="D87" s="170" t="s">
        <v>26</v>
      </c>
      <c r="E87" s="171"/>
      <c r="F87" s="172">
        <f t="shared" ref="F87:O87" si="16">F88+F95</f>
        <v>56635.5</v>
      </c>
      <c r="G87" s="172">
        <f t="shared" si="16"/>
        <v>-7662.6</v>
      </c>
      <c r="H87" s="172">
        <f t="shared" si="16"/>
        <v>48972.9</v>
      </c>
      <c r="I87" s="188">
        <f t="shared" si="16"/>
        <v>0</v>
      </c>
      <c r="J87" s="172">
        <f t="shared" si="16"/>
        <v>0</v>
      </c>
      <c r="K87" s="188">
        <f t="shared" si="16"/>
        <v>0</v>
      </c>
      <c r="L87" s="172">
        <f t="shared" si="16"/>
        <v>56635.5</v>
      </c>
      <c r="M87" s="273">
        <f t="shared" si="16"/>
        <v>-7662.6</v>
      </c>
      <c r="N87" s="304">
        <f t="shared" si="16"/>
        <v>48372.9</v>
      </c>
      <c r="O87" s="304">
        <f t="shared" si="16"/>
        <v>35954.9</v>
      </c>
      <c r="P87" s="315"/>
      <c r="Q87" s="303"/>
      <c r="R87" s="401">
        <f t="shared" si="6"/>
        <v>74.32860134496795</v>
      </c>
    </row>
    <row r="88" spans="1:18" ht="47.25" x14ac:dyDescent="0.2">
      <c r="A88" s="368"/>
      <c r="B88" s="206" t="s">
        <v>98</v>
      </c>
      <c r="C88" s="207" t="s">
        <v>99</v>
      </c>
      <c r="D88" s="208" t="s">
        <v>26</v>
      </c>
      <c r="E88" s="209"/>
      <c r="F88" s="210">
        <f t="shared" ref="F88:O88" si="17">F89+F92</f>
        <v>56105.5</v>
      </c>
      <c r="G88" s="210">
        <f t="shared" si="17"/>
        <v>-7662.6</v>
      </c>
      <c r="H88" s="210">
        <f t="shared" si="17"/>
        <v>48442.9</v>
      </c>
      <c r="I88" s="211">
        <f t="shared" si="17"/>
        <v>0</v>
      </c>
      <c r="J88" s="210">
        <f t="shared" si="17"/>
        <v>0</v>
      </c>
      <c r="K88" s="211">
        <f t="shared" si="17"/>
        <v>0</v>
      </c>
      <c r="L88" s="210">
        <f t="shared" si="17"/>
        <v>56105.5</v>
      </c>
      <c r="M88" s="210">
        <f t="shared" si="17"/>
        <v>-7662.6</v>
      </c>
      <c r="N88" s="333">
        <f t="shared" si="17"/>
        <v>47842.9</v>
      </c>
      <c r="O88" s="333">
        <f t="shared" si="17"/>
        <v>35514.9</v>
      </c>
      <c r="P88" s="369"/>
      <c r="Q88" s="303"/>
      <c r="R88" s="401">
        <f t="shared" si="6"/>
        <v>74.232331234101608</v>
      </c>
    </row>
    <row r="89" spans="1:18" ht="47.25" x14ac:dyDescent="0.2">
      <c r="A89" s="42"/>
      <c r="B89" s="168" t="s">
        <v>100</v>
      </c>
      <c r="C89" s="169" t="s">
        <v>101</v>
      </c>
      <c r="D89" s="170" t="s">
        <v>26</v>
      </c>
      <c r="E89" s="171"/>
      <c r="F89" s="172">
        <f t="shared" ref="F89:N90" si="18">F90</f>
        <v>51780</v>
      </c>
      <c r="G89" s="172">
        <f t="shared" si="18"/>
        <v>-7662.6</v>
      </c>
      <c r="H89" s="172">
        <f t="shared" si="18"/>
        <v>44117.4</v>
      </c>
      <c r="I89" s="188">
        <f t="shared" si="18"/>
        <v>0</v>
      </c>
      <c r="J89" s="189"/>
      <c r="K89" s="188">
        <f t="shared" si="18"/>
        <v>0</v>
      </c>
      <c r="L89" s="172">
        <f t="shared" si="18"/>
        <v>51780</v>
      </c>
      <c r="M89" s="172">
        <f t="shared" si="18"/>
        <v>-7662.6</v>
      </c>
      <c r="N89" s="304">
        <f t="shared" si="18"/>
        <v>43517.4</v>
      </c>
      <c r="O89" s="309">
        <v>31190.5</v>
      </c>
      <c r="P89" s="319"/>
      <c r="Q89" s="303"/>
      <c r="R89" s="401">
        <f t="shared" si="6"/>
        <v>71.67362939881518</v>
      </c>
    </row>
    <row r="90" spans="1:18" ht="31.5" x14ac:dyDescent="0.2">
      <c r="A90" s="42"/>
      <c r="B90" s="168" t="s">
        <v>102</v>
      </c>
      <c r="C90" s="169" t="s">
        <v>103</v>
      </c>
      <c r="D90" s="170" t="s">
        <v>26</v>
      </c>
      <c r="E90" s="171"/>
      <c r="F90" s="172">
        <f t="shared" si="18"/>
        <v>51780</v>
      </c>
      <c r="G90" s="172">
        <f t="shared" si="18"/>
        <v>-7662.6</v>
      </c>
      <c r="H90" s="172">
        <f t="shared" si="18"/>
        <v>44117.4</v>
      </c>
      <c r="I90" s="188">
        <f t="shared" si="18"/>
        <v>0</v>
      </c>
      <c r="J90" s="189"/>
      <c r="K90" s="188">
        <f t="shared" si="18"/>
        <v>0</v>
      </c>
      <c r="L90" s="172">
        <f t="shared" si="18"/>
        <v>51780</v>
      </c>
      <c r="M90" s="172">
        <f t="shared" si="18"/>
        <v>-7662.6</v>
      </c>
      <c r="N90" s="304">
        <f t="shared" si="18"/>
        <v>43517.4</v>
      </c>
      <c r="O90" s="309">
        <v>31190.5</v>
      </c>
      <c r="P90" s="319"/>
      <c r="Q90" s="303"/>
      <c r="R90" s="401">
        <f t="shared" ref="R90:R153" si="19">SUM(O90/N90*100)</f>
        <v>71.67362939881518</v>
      </c>
    </row>
    <row r="91" spans="1:18" ht="31.5" x14ac:dyDescent="0.2">
      <c r="A91" s="42"/>
      <c r="B91" s="168" t="s">
        <v>54</v>
      </c>
      <c r="C91" s="169" t="s">
        <v>103</v>
      </c>
      <c r="D91" s="170" t="s">
        <v>55</v>
      </c>
      <c r="E91" s="171"/>
      <c r="F91" s="172">
        <v>51780</v>
      </c>
      <c r="G91" s="172">
        <f>-124.7-20.3-63.9-76.7-266.8+78.7-426.4-6408.4-155.7-21-120.6-50-6.8</f>
        <v>-7662.6</v>
      </c>
      <c r="H91" s="172">
        <f>SUM(F91)+G91</f>
        <v>44117.4</v>
      </c>
      <c r="I91" s="188">
        <v>0</v>
      </c>
      <c r="J91" s="189"/>
      <c r="K91" s="188">
        <v>0</v>
      </c>
      <c r="L91" s="172">
        <f>SUM(F91)</f>
        <v>51780</v>
      </c>
      <c r="M91" s="172">
        <f>SUM(G91)</f>
        <v>-7662.6</v>
      </c>
      <c r="N91" s="304">
        <v>43517.4</v>
      </c>
      <c r="O91" s="309">
        <v>31190.5</v>
      </c>
      <c r="P91" s="319"/>
      <c r="Q91" s="303"/>
      <c r="R91" s="401">
        <f t="shared" si="19"/>
        <v>71.67362939881518</v>
      </c>
    </row>
    <row r="92" spans="1:18" ht="54.75" customHeight="1" x14ac:dyDescent="0.2">
      <c r="A92" s="42"/>
      <c r="B92" s="168" t="s">
        <v>104</v>
      </c>
      <c r="C92" s="169" t="s">
        <v>105</v>
      </c>
      <c r="D92" s="170" t="s">
        <v>26</v>
      </c>
      <c r="E92" s="171"/>
      <c r="F92" s="172">
        <f t="shared" ref="F92:O93" si="20">F93</f>
        <v>4325.5</v>
      </c>
      <c r="G92" s="172">
        <f t="shared" si="20"/>
        <v>0</v>
      </c>
      <c r="H92" s="172">
        <f t="shared" si="20"/>
        <v>4325.5</v>
      </c>
      <c r="I92" s="188">
        <f t="shared" si="20"/>
        <v>0</v>
      </c>
      <c r="J92" s="189"/>
      <c r="K92" s="188">
        <f t="shared" si="20"/>
        <v>0</v>
      </c>
      <c r="L92" s="172">
        <f t="shared" si="20"/>
        <v>4325.5</v>
      </c>
      <c r="M92" s="172">
        <f t="shared" si="20"/>
        <v>0</v>
      </c>
      <c r="N92" s="304">
        <f t="shared" si="20"/>
        <v>4325.5</v>
      </c>
      <c r="O92" s="304">
        <f t="shared" si="20"/>
        <v>4324.3999999999996</v>
      </c>
      <c r="P92" s="315"/>
      <c r="Q92" s="303"/>
      <c r="R92" s="401">
        <f t="shared" si="19"/>
        <v>99.974569413940571</v>
      </c>
    </row>
    <row r="93" spans="1:18" ht="63" x14ac:dyDescent="0.2">
      <c r="A93" s="42"/>
      <c r="B93" s="168" t="s">
        <v>106</v>
      </c>
      <c r="C93" s="169" t="s">
        <v>107</v>
      </c>
      <c r="D93" s="170" t="s">
        <v>26</v>
      </c>
      <c r="E93" s="171"/>
      <c r="F93" s="172">
        <f t="shared" si="20"/>
        <v>4325.5</v>
      </c>
      <c r="G93" s="172">
        <f t="shared" si="20"/>
        <v>0</v>
      </c>
      <c r="H93" s="172">
        <f t="shared" si="20"/>
        <v>4325.5</v>
      </c>
      <c r="I93" s="188">
        <f t="shared" si="20"/>
        <v>0</v>
      </c>
      <c r="J93" s="189"/>
      <c r="K93" s="188">
        <f t="shared" si="20"/>
        <v>0</v>
      </c>
      <c r="L93" s="172">
        <f t="shared" si="20"/>
        <v>4325.5</v>
      </c>
      <c r="M93" s="172">
        <f t="shared" si="20"/>
        <v>0</v>
      </c>
      <c r="N93" s="304">
        <f t="shared" si="20"/>
        <v>4325.5</v>
      </c>
      <c r="O93" s="304">
        <f t="shared" si="20"/>
        <v>4324.3999999999996</v>
      </c>
      <c r="P93" s="315"/>
      <c r="Q93" s="303"/>
      <c r="R93" s="401">
        <f t="shared" si="19"/>
        <v>99.974569413940571</v>
      </c>
    </row>
    <row r="94" spans="1:18" ht="31.5" x14ac:dyDescent="0.2">
      <c r="A94" s="42"/>
      <c r="B94" s="168" t="s">
        <v>54</v>
      </c>
      <c r="C94" s="169" t="s">
        <v>107</v>
      </c>
      <c r="D94" s="170" t="s">
        <v>55</v>
      </c>
      <c r="E94" s="171"/>
      <c r="F94" s="172">
        <v>4325.5</v>
      </c>
      <c r="G94" s="172"/>
      <c r="H94" s="172">
        <f>F94+G94</f>
        <v>4325.5</v>
      </c>
      <c r="I94" s="188">
        <v>0</v>
      </c>
      <c r="J94" s="189"/>
      <c r="K94" s="188">
        <v>0</v>
      </c>
      <c r="L94" s="172">
        <f>SUM(F94)</f>
        <v>4325.5</v>
      </c>
      <c r="M94" s="172">
        <f>G94+J94</f>
        <v>0</v>
      </c>
      <c r="N94" s="304">
        <f>SUM(L94:M94)</f>
        <v>4325.5</v>
      </c>
      <c r="O94" s="309">
        <v>4324.3999999999996</v>
      </c>
      <c r="P94" s="319"/>
      <c r="Q94" s="303"/>
      <c r="R94" s="401">
        <f t="shared" si="19"/>
        <v>99.974569413940571</v>
      </c>
    </row>
    <row r="95" spans="1:18" ht="37.9" customHeight="1" x14ac:dyDescent="0.2">
      <c r="A95" s="368"/>
      <c r="B95" s="206" t="s">
        <v>108</v>
      </c>
      <c r="C95" s="207" t="s">
        <v>109</v>
      </c>
      <c r="D95" s="208" t="s">
        <v>26</v>
      </c>
      <c r="E95" s="209"/>
      <c r="F95" s="210">
        <f t="shared" ref="F95:O97" si="21">F96</f>
        <v>530</v>
      </c>
      <c r="G95" s="210">
        <f t="shared" si="21"/>
        <v>0</v>
      </c>
      <c r="H95" s="210">
        <f t="shared" si="21"/>
        <v>530</v>
      </c>
      <c r="I95" s="211">
        <f t="shared" si="21"/>
        <v>0</v>
      </c>
      <c r="J95" s="210">
        <f>J96</f>
        <v>0</v>
      </c>
      <c r="K95" s="211">
        <f t="shared" si="21"/>
        <v>0</v>
      </c>
      <c r="L95" s="210">
        <f t="shared" si="21"/>
        <v>530</v>
      </c>
      <c r="M95" s="372">
        <f t="shared" si="21"/>
        <v>0</v>
      </c>
      <c r="N95" s="333">
        <f t="shared" si="21"/>
        <v>530</v>
      </c>
      <c r="O95" s="304">
        <f t="shared" si="21"/>
        <v>440</v>
      </c>
      <c r="P95" s="315"/>
      <c r="Q95" s="367"/>
      <c r="R95" s="401">
        <f t="shared" si="19"/>
        <v>83.018867924528308</v>
      </c>
    </row>
    <row r="96" spans="1:18" ht="64.150000000000006" customHeight="1" x14ac:dyDescent="0.2">
      <c r="A96" s="42"/>
      <c r="B96" s="168" t="s">
        <v>110</v>
      </c>
      <c r="C96" s="169" t="s">
        <v>111</v>
      </c>
      <c r="D96" s="170" t="s">
        <v>26</v>
      </c>
      <c r="E96" s="171"/>
      <c r="F96" s="172">
        <f t="shared" si="21"/>
        <v>530</v>
      </c>
      <c r="G96" s="172">
        <f t="shared" si="21"/>
        <v>0</v>
      </c>
      <c r="H96" s="172">
        <f t="shared" si="21"/>
        <v>530</v>
      </c>
      <c r="I96" s="188">
        <f t="shared" si="21"/>
        <v>0</v>
      </c>
      <c r="J96" s="189"/>
      <c r="K96" s="188">
        <f t="shared" si="21"/>
        <v>0</v>
      </c>
      <c r="L96" s="172">
        <f t="shared" si="21"/>
        <v>530</v>
      </c>
      <c r="M96" s="172">
        <f t="shared" si="21"/>
        <v>0</v>
      </c>
      <c r="N96" s="304">
        <f t="shared" si="21"/>
        <v>530</v>
      </c>
      <c r="O96" s="304">
        <f t="shared" si="21"/>
        <v>440</v>
      </c>
      <c r="P96" s="315"/>
      <c r="Q96" s="367"/>
      <c r="R96" s="401">
        <f t="shared" si="19"/>
        <v>83.018867924528308</v>
      </c>
    </row>
    <row r="97" spans="1:18" ht="36.6" customHeight="1" x14ac:dyDescent="0.2">
      <c r="A97" s="42"/>
      <c r="B97" s="168" t="s">
        <v>112</v>
      </c>
      <c r="C97" s="169" t="s">
        <v>113</v>
      </c>
      <c r="D97" s="170" t="s">
        <v>26</v>
      </c>
      <c r="E97" s="171"/>
      <c r="F97" s="172">
        <f t="shared" si="21"/>
        <v>530</v>
      </c>
      <c r="G97" s="172">
        <f t="shared" si="21"/>
        <v>0</v>
      </c>
      <c r="H97" s="172">
        <f t="shared" si="21"/>
        <v>530</v>
      </c>
      <c r="I97" s="188">
        <f t="shared" si="21"/>
        <v>0</v>
      </c>
      <c r="J97" s="189"/>
      <c r="K97" s="188">
        <f t="shared" si="21"/>
        <v>0</v>
      </c>
      <c r="L97" s="172">
        <f t="shared" si="21"/>
        <v>530</v>
      </c>
      <c r="M97" s="172">
        <f t="shared" si="21"/>
        <v>0</v>
      </c>
      <c r="N97" s="304">
        <f t="shared" si="21"/>
        <v>530</v>
      </c>
      <c r="O97" s="304">
        <f t="shared" si="21"/>
        <v>440</v>
      </c>
      <c r="P97" s="315"/>
      <c r="Q97" s="367"/>
      <c r="R97" s="401">
        <f t="shared" si="19"/>
        <v>83.018867924528308</v>
      </c>
    </row>
    <row r="98" spans="1:18" ht="63" x14ac:dyDescent="0.2">
      <c r="A98" s="42"/>
      <c r="B98" s="168" t="s">
        <v>74</v>
      </c>
      <c r="C98" s="169" t="s">
        <v>113</v>
      </c>
      <c r="D98" s="170" t="s">
        <v>75</v>
      </c>
      <c r="E98" s="171"/>
      <c r="F98" s="172">
        <v>530</v>
      </c>
      <c r="G98" s="172"/>
      <c r="H98" s="172">
        <f>F98+G98</f>
        <v>530</v>
      </c>
      <c r="I98" s="188">
        <v>0</v>
      </c>
      <c r="J98" s="189"/>
      <c r="K98" s="188">
        <v>0</v>
      </c>
      <c r="L98" s="172">
        <v>530</v>
      </c>
      <c r="M98" s="172">
        <f>G98+J98</f>
        <v>0</v>
      </c>
      <c r="N98" s="304">
        <f>H98+K98</f>
        <v>530</v>
      </c>
      <c r="O98" s="311">
        <v>440</v>
      </c>
      <c r="P98" s="322"/>
      <c r="Q98" s="367"/>
      <c r="R98" s="401">
        <f t="shared" si="19"/>
        <v>83.018867924528308</v>
      </c>
    </row>
    <row r="99" spans="1:18" ht="78.75" x14ac:dyDescent="0.2">
      <c r="A99" s="42" t="s">
        <v>114</v>
      </c>
      <c r="B99" s="168" t="s">
        <v>115</v>
      </c>
      <c r="C99" s="169" t="s">
        <v>116</v>
      </c>
      <c r="D99" s="170" t="s">
        <v>26</v>
      </c>
      <c r="E99" s="171"/>
      <c r="F99" s="172">
        <f t="shared" ref="F99:K99" si="22">F100+F110+F122</f>
        <v>37961.800000000003</v>
      </c>
      <c r="G99" s="172">
        <f>G100+G110+G122</f>
        <v>0</v>
      </c>
      <c r="H99" s="172">
        <f t="shared" si="22"/>
        <v>37961.800000000003</v>
      </c>
      <c r="I99" s="188">
        <f t="shared" si="22"/>
        <v>67252.899999999994</v>
      </c>
      <c r="J99" s="273">
        <f>J100+J110+J122</f>
        <v>0</v>
      </c>
      <c r="K99" s="188">
        <f t="shared" si="22"/>
        <v>67252.899999999994</v>
      </c>
      <c r="L99" s="172">
        <f>SUM(L100+L110+L122)+L139</f>
        <v>105214.7</v>
      </c>
      <c r="M99" s="172">
        <f>M100+M110+M122+M139</f>
        <v>0</v>
      </c>
      <c r="N99" s="304">
        <f>SUM(N100+N110+N122)+N139</f>
        <v>105214.7</v>
      </c>
      <c r="O99" s="304">
        <f>SUM(O100+O110+O122)+O139</f>
        <v>81931.900000000009</v>
      </c>
      <c r="P99" s="315"/>
      <c r="Q99" s="310"/>
      <c r="R99" s="401">
        <f t="shared" si="19"/>
        <v>77.87115298527678</v>
      </c>
    </row>
    <row r="100" spans="1:18" ht="33.6" customHeight="1" x14ac:dyDescent="0.2">
      <c r="A100" s="368"/>
      <c r="B100" s="168" t="s">
        <v>117</v>
      </c>
      <c r="C100" s="169" t="s">
        <v>118</v>
      </c>
      <c r="D100" s="170" t="s">
        <v>26</v>
      </c>
      <c r="E100" s="171"/>
      <c r="F100" s="172">
        <f t="shared" ref="F100:O100" si="23">F101</f>
        <v>1449.1000000000001</v>
      </c>
      <c r="G100" s="172">
        <f t="shared" si="23"/>
        <v>0</v>
      </c>
      <c r="H100" s="172">
        <f t="shared" si="23"/>
        <v>1449.1000000000001</v>
      </c>
      <c r="I100" s="188">
        <f t="shared" si="23"/>
        <v>13560.400000000001</v>
      </c>
      <c r="J100" s="172">
        <f t="shared" si="23"/>
        <v>0</v>
      </c>
      <c r="K100" s="188">
        <f t="shared" si="23"/>
        <v>13560.400000000001</v>
      </c>
      <c r="L100" s="172">
        <f t="shared" si="23"/>
        <v>15009.5</v>
      </c>
      <c r="M100" s="172">
        <f t="shared" si="23"/>
        <v>0</v>
      </c>
      <c r="N100" s="304">
        <f t="shared" si="23"/>
        <v>15009.5</v>
      </c>
      <c r="O100" s="304">
        <f t="shared" si="23"/>
        <v>12515.7</v>
      </c>
      <c r="P100" s="373"/>
      <c r="Q100" s="367"/>
      <c r="R100" s="401">
        <f t="shared" si="19"/>
        <v>83.385189380059302</v>
      </c>
    </row>
    <row r="101" spans="1:18" ht="78.75" x14ac:dyDescent="0.2">
      <c r="A101" s="42"/>
      <c r="B101" s="168" t="s">
        <v>119</v>
      </c>
      <c r="C101" s="169" t="s">
        <v>120</v>
      </c>
      <c r="D101" s="170" t="s">
        <v>26</v>
      </c>
      <c r="E101" s="171"/>
      <c r="F101" s="172">
        <f>F108+F102+F104+F106</f>
        <v>1449.1000000000001</v>
      </c>
      <c r="G101" s="172">
        <f>G108+G102+G104+G106</f>
        <v>0</v>
      </c>
      <c r="H101" s="172">
        <f>H108+H102+H104+H106</f>
        <v>1449.1000000000001</v>
      </c>
      <c r="I101" s="188">
        <f>I108+I104+I106</f>
        <v>13560.400000000001</v>
      </c>
      <c r="J101" s="172">
        <f>J108+J102+J104</f>
        <v>0</v>
      </c>
      <c r="K101" s="188">
        <f>K108+K104+K106</f>
        <v>13560.400000000001</v>
      </c>
      <c r="L101" s="172">
        <f>L108+L102+L104+L106</f>
        <v>15009.5</v>
      </c>
      <c r="M101" s="172">
        <f>M108+M102+M104+M106</f>
        <v>0</v>
      </c>
      <c r="N101" s="304">
        <f>N108+N102+N104+N106</f>
        <v>15009.5</v>
      </c>
      <c r="O101" s="304">
        <f>O108+O102+O104+O106</f>
        <v>12515.7</v>
      </c>
      <c r="P101" s="315"/>
      <c r="Q101" s="367"/>
      <c r="R101" s="401">
        <f t="shared" si="19"/>
        <v>83.385189380059302</v>
      </c>
    </row>
    <row r="102" spans="1:18" ht="47.25" x14ac:dyDescent="0.2">
      <c r="A102" s="42"/>
      <c r="B102" s="198" t="s">
        <v>121</v>
      </c>
      <c r="C102" s="169" t="s">
        <v>122</v>
      </c>
      <c r="D102" s="170"/>
      <c r="E102" s="171"/>
      <c r="F102" s="172">
        <v>735.3</v>
      </c>
      <c r="G102" s="172"/>
      <c r="H102" s="172">
        <f>SUM(F102)</f>
        <v>735.3</v>
      </c>
      <c r="I102" s="188"/>
      <c r="J102" s="189"/>
      <c r="K102" s="188"/>
      <c r="L102" s="172">
        <f t="shared" ref="L102:N103" si="24">SUM(F102)</f>
        <v>735.3</v>
      </c>
      <c r="M102" s="172">
        <f t="shared" si="24"/>
        <v>0</v>
      </c>
      <c r="N102" s="304">
        <f t="shared" si="24"/>
        <v>735.3</v>
      </c>
      <c r="O102" s="309">
        <v>735.2</v>
      </c>
      <c r="P102" s="319"/>
      <c r="Q102" s="303"/>
      <c r="R102" s="401">
        <f t="shared" si="19"/>
        <v>99.986400108799145</v>
      </c>
    </row>
    <row r="103" spans="1:18" ht="46.5" customHeight="1" x14ac:dyDescent="0.2">
      <c r="A103" s="42"/>
      <c r="B103" s="168" t="s">
        <v>35</v>
      </c>
      <c r="C103" s="169" t="s">
        <v>122</v>
      </c>
      <c r="D103" s="170" t="s">
        <v>36</v>
      </c>
      <c r="E103" s="171"/>
      <c r="F103" s="172">
        <v>735.3</v>
      </c>
      <c r="G103" s="172"/>
      <c r="H103" s="172">
        <f>SUM(F103)</f>
        <v>735.3</v>
      </c>
      <c r="I103" s="188"/>
      <c r="J103" s="189"/>
      <c r="K103" s="188"/>
      <c r="L103" s="172">
        <f t="shared" si="24"/>
        <v>735.3</v>
      </c>
      <c r="M103" s="172">
        <f t="shared" si="24"/>
        <v>0</v>
      </c>
      <c r="N103" s="304">
        <f t="shared" si="24"/>
        <v>735.3</v>
      </c>
      <c r="O103" s="309">
        <v>735.2</v>
      </c>
      <c r="P103" s="319"/>
      <c r="Q103" s="303"/>
      <c r="R103" s="401">
        <f t="shared" si="19"/>
        <v>99.986400108799145</v>
      </c>
    </row>
    <row r="104" spans="1:18" ht="94.5" hidden="1" x14ac:dyDescent="0.2">
      <c r="A104" s="42"/>
      <c r="B104" s="197" t="s">
        <v>450</v>
      </c>
      <c r="C104" s="169" t="s">
        <v>449</v>
      </c>
      <c r="D104" s="170"/>
      <c r="E104" s="171"/>
      <c r="F104" s="172">
        <f>SUM(F105)</f>
        <v>0</v>
      </c>
      <c r="G104" s="172"/>
      <c r="H104" s="172">
        <f>SUM(F104+G104)</f>
        <v>0</v>
      </c>
      <c r="I104" s="188">
        <f>SUM(I105)</f>
        <v>0</v>
      </c>
      <c r="J104" s="189"/>
      <c r="K104" s="188">
        <f>SUM(K105)</f>
        <v>0</v>
      </c>
      <c r="L104" s="172">
        <f>SUM(F104+I104)</f>
        <v>0</v>
      </c>
      <c r="M104" s="172">
        <f t="shared" ref="M104:N107" si="25">SUM(G104)+J104</f>
        <v>0</v>
      </c>
      <c r="N104" s="304">
        <f t="shared" si="25"/>
        <v>0</v>
      </c>
      <c r="O104" s="308"/>
      <c r="P104" s="320"/>
      <c r="Q104" s="303"/>
      <c r="R104" s="401" t="e">
        <f t="shared" si="19"/>
        <v>#DIV/0!</v>
      </c>
    </row>
    <row r="105" spans="1:18" ht="63" hidden="1" x14ac:dyDescent="0.2">
      <c r="A105" s="42"/>
      <c r="B105" s="168" t="s">
        <v>35</v>
      </c>
      <c r="C105" s="169" t="s">
        <v>449</v>
      </c>
      <c r="D105" s="170" t="s">
        <v>36</v>
      </c>
      <c r="E105" s="171"/>
      <c r="F105" s="172">
        <v>0</v>
      </c>
      <c r="G105" s="172"/>
      <c r="H105" s="172">
        <f>SUM(F105+G105)</f>
        <v>0</v>
      </c>
      <c r="I105" s="188">
        <v>0</v>
      </c>
      <c r="J105" s="189"/>
      <c r="K105" s="188">
        <v>0</v>
      </c>
      <c r="L105" s="172">
        <f>SUM(F105+I105)</f>
        <v>0</v>
      </c>
      <c r="M105" s="172">
        <f t="shared" si="25"/>
        <v>0</v>
      </c>
      <c r="N105" s="304">
        <f t="shared" si="25"/>
        <v>0</v>
      </c>
      <c r="O105" s="308"/>
      <c r="P105" s="320"/>
      <c r="Q105" s="303"/>
      <c r="R105" s="401" t="e">
        <f t="shared" si="19"/>
        <v>#DIV/0!</v>
      </c>
    </row>
    <row r="106" spans="1:18" ht="94.5" x14ac:dyDescent="0.2">
      <c r="A106" s="42"/>
      <c r="B106" s="197" t="s">
        <v>450</v>
      </c>
      <c r="C106" s="199" t="s">
        <v>459</v>
      </c>
      <c r="D106" s="170"/>
      <c r="E106" s="171"/>
      <c r="F106" s="172">
        <f>SUM(F107)</f>
        <v>294.2</v>
      </c>
      <c r="G106" s="172"/>
      <c r="H106" s="172">
        <f>SUM(H107)</f>
        <v>294.2</v>
      </c>
      <c r="I106" s="188">
        <v>5589.3</v>
      </c>
      <c r="J106" s="189"/>
      <c r="K106" s="189">
        <v>5589.3</v>
      </c>
      <c r="L106" s="172">
        <f>SUM(F106+I106)</f>
        <v>5883.5</v>
      </c>
      <c r="M106" s="172">
        <f t="shared" si="25"/>
        <v>0</v>
      </c>
      <c r="N106" s="304">
        <f>SUM(H106+K106)</f>
        <v>5883.5</v>
      </c>
      <c r="O106" s="309">
        <v>3390.5</v>
      </c>
      <c r="P106" s="319"/>
      <c r="Q106" s="303"/>
      <c r="R106" s="401">
        <f t="shared" si="19"/>
        <v>57.627262683776657</v>
      </c>
    </row>
    <row r="107" spans="1:18" ht="63" x14ac:dyDescent="0.2">
      <c r="A107" s="42"/>
      <c r="B107" s="168" t="s">
        <v>35</v>
      </c>
      <c r="C107" s="199" t="s">
        <v>459</v>
      </c>
      <c r="D107" s="170" t="s">
        <v>36</v>
      </c>
      <c r="E107" s="171"/>
      <c r="F107" s="172">
        <v>294.2</v>
      </c>
      <c r="G107" s="172"/>
      <c r="H107" s="172">
        <v>294.2</v>
      </c>
      <c r="I107" s="188">
        <v>5589.3</v>
      </c>
      <c r="J107" s="189"/>
      <c r="K107" s="189">
        <v>5589.3</v>
      </c>
      <c r="L107" s="172">
        <f>SUM(F107+I107)</f>
        <v>5883.5</v>
      </c>
      <c r="M107" s="172">
        <f t="shared" si="25"/>
        <v>0</v>
      </c>
      <c r="N107" s="304">
        <f t="shared" si="25"/>
        <v>5883.5</v>
      </c>
      <c r="O107" s="309">
        <v>3390.5</v>
      </c>
      <c r="P107" s="319"/>
      <c r="Q107" s="303"/>
      <c r="R107" s="401">
        <f t="shared" si="19"/>
        <v>57.627262683776657</v>
      </c>
    </row>
    <row r="108" spans="1:18" ht="36.6" customHeight="1" x14ac:dyDescent="0.2">
      <c r="A108" s="42"/>
      <c r="B108" s="168" t="s">
        <v>123</v>
      </c>
      <c r="C108" s="169" t="s">
        <v>124</v>
      </c>
      <c r="D108" s="170" t="s">
        <v>26</v>
      </c>
      <c r="E108" s="171"/>
      <c r="F108" s="172">
        <f t="shared" ref="F108:N108" si="26">F109</f>
        <v>419.6</v>
      </c>
      <c r="G108" s="172">
        <f t="shared" si="26"/>
        <v>0</v>
      </c>
      <c r="H108" s="172">
        <f t="shared" si="26"/>
        <v>419.6</v>
      </c>
      <c r="I108" s="188">
        <f t="shared" si="26"/>
        <v>7971.1</v>
      </c>
      <c r="J108" s="188">
        <f t="shared" si="26"/>
        <v>0</v>
      </c>
      <c r="K108" s="188">
        <f t="shared" si="26"/>
        <v>7971.1</v>
      </c>
      <c r="L108" s="172">
        <f t="shared" si="26"/>
        <v>8390.7000000000007</v>
      </c>
      <c r="M108" s="172">
        <f t="shared" si="26"/>
        <v>0</v>
      </c>
      <c r="N108" s="304">
        <f t="shared" si="26"/>
        <v>8390.7000000000007</v>
      </c>
      <c r="O108" s="309">
        <v>8390</v>
      </c>
      <c r="P108" s="319"/>
      <c r="Q108" s="303"/>
      <c r="R108" s="401">
        <f t="shared" si="19"/>
        <v>99.991657430250143</v>
      </c>
    </row>
    <row r="109" spans="1:18" ht="63" x14ac:dyDescent="0.2">
      <c r="A109" s="42"/>
      <c r="B109" s="168" t="s">
        <v>35</v>
      </c>
      <c r="C109" s="169" t="s">
        <v>124</v>
      </c>
      <c r="D109" s="170" t="s">
        <v>36</v>
      </c>
      <c r="E109" s="171"/>
      <c r="F109" s="172">
        <v>419.6</v>
      </c>
      <c r="G109" s="172"/>
      <c r="H109" s="172">
        <f>419.6+G109</f>
        <v>419.6</v>
      </c>
      <c r="I109" s="188">
        <v>7971.1</v>
      </c>
      <c r="J109" s="189"/>
      <c r="K109" s="188">
        <f>7971.1+J109</f>
        <v>7971.1</v>
      </c>
      <c r="L109" s="172">
        <f>419.6+I109</f>
        <v>8390.7000000000007</v>
      </c>
      <c r="M109" s="172">
        <f>SUM(J109)</f>
        <v>0</v>
      </c>
      <c r="N109" s="304">
        <f>419.6+K109</f>
        <v>8390.7000000000007</v>
      </c>
      <c r="O109" s="309">
        <v>8390</v>
      </c>
      <c r="P109" s="319"/>
      <c r="Q109" s="303"/>
      <c r="R109" s="401">
        <f t="shared" si="19"/>
        <v>99.991657430250143</v>
      </c>
    </row>
    <row r="110" spans="1:18" ht="35.450000000000003" customHeight="1" x14ac:dyDescent="0.2">
      <c r="A110" s="368"/>
      <c r="B110" s="206" t="s">
        <v>125</v>
      </c>
      <c r="C110" s="207" t="s">
        <v>126</v>
      </c>
      <c r="D110" s="208" t="s">
        <v>26</v>
      </c>
      <c r="E110" s="209"/>
      <c r="F110" s="210">
        <f t="shared" ref="F110:O110" si="27">F111+F119</f>
        <v>18456.2</v>
      </c>
      <c r="G110" s="210">
        <f>G111+G119</f>
        <v>0</v>
      </c>
      <c r="H110" s="210">
        <f>H111+H119</f>
        <v>18456.2</v>
      </c>
      <c r="I110" s="211">
        <f t="shared" si="27"/>
        <v>53692.5</v>
      </c>
      <c r="J110" s="210">
        <f t="shared" si="27"/>
        <v>0</v>
      </c>
      <c r="K110" s="211">
        <f t="shared" si="27"/>
        <v>53692.5</v>
      </c>
      <c r="L110" s="210">
        <f t="shared" si="27"/>
        <v>72148.7</v>
      </c>
      <c r="M110" s="210">
        <f t="shared" si="27"/>
        <v>0</v>
      </c>
      <c r="N110" s="333">
        <f t="shared" si="27"/>
        <v>72148.7</v>
      </c>
      <c r="O110" s="333">
        <f t="shared" si="27"/>
        <v>51373.9</v>
      </c>
      <c r="P110" s="373"/>
      <c r="Q110" s="303"/>
      <c r="R110" s="401">
        <f t="shared" si="19"/>
        <v>71.205579587712606</v>
      </c>
    </row>
    <row r="111" spans="1:18" ht="47.25" x14ac:dyDescent="0.2">
      <c r="A111" s="42"/>
      <c r="B111" s="168" t="s">
        <v>127</v>
      </c>
      <c r="C111" s="169" t="s">
        <v>128</v>
      </c>
      <c r="D111" s="170" t="s">
        <v>26</v>
      </c>
      <c r="E111" s="171"/>
      <c r="F111" s="188">
        <f>F112+F117+F115</f>
        <v>10274.1</v>
      </c>
      <c r="G111" s="188">
        <f t="shared" ref="G111:O111" si="28">G112+G117+G115</f>
        <v>0</v>
      </c>
      <c r="H111" s="188">
        <f t="shared" si="28"/>
        <v>10274.1</v>
      </c>
      <c r="I111" s="188">
        <f t="shared" si="28"/>
        <v>53692.5</v>
      </c>
      <c r="J111" s="188">
        <f t="shared" si="28"/>
        <v>0</v>
      </c>
      <c r="K111" s="188">
        <f t="shared" si="28"/>
        <v>53692.5</v>
      </c>
      <c r="L111" s="188">
        <f t="shared" si="28"/>
        <v>63966.6</v>
      </c>
      <c r="M111" s="188">
        <f t="shared" si="28"/>
        <v>0</v>
      </c>
      <c r="N111" s="305">
        <f t="shared" si="28"/>
        <v>63966.6</v>
      </c>
      <c r="O111" s="305">
        <f t="shared" si="28"/>
        <v>44212.9</v>
      </c>
      <c r="P111" s="315"/>
      <c r="Q111" s="303"/>
      <c r="R111" s="401">
        <f t="shared" si="19"/>
        <v>69.118727585958922</v>
      </c>
    </row>
    <row r="112" spans="1:18" ht="49.15" customHeight="1" x14ac:dyDescent="0.2">
      <c r="A112" s="42"/>
      <c r="B112" s="168" t="s">
        <v>129</v>
      </c>
      <c r="C112" s="169" t="s">
        <v>130</v>
      </c>
      <c r="D112" s="170" t="s">
        <v>26</v>
      </c>
      <c r="E112" s="171"/>
      <c r="F112" s="172">
        <f>F113+F114</f>
        <v>10274.1</v>
      </c>
      <c r="G112" s="172">
        <f>G113+G114</f>
        <v>0</v>
      </c>
      <c r="H112" s="172">
        <f>H113+H114</f>
        <v>10274.1</v>
      </c>
      <c r="I112" s="188">
        <f>I113+I114</f>
        <v>27036</v>
      </c>
      <c r="J112" s="189">
        <f>SUM(J113+J114)</f>
        <v>0</v>
      </c>
      <c r="K112" s="188">
        <f>K113+K114</f>
        <v>27036</v>
      </c>
      <c r="L112" s="172">
        <f>L113+L114</f>
        <v>37310.1</v>
      </c>
      <c r="M112" s="172">
        <f>M113+M114</f>
        <v>0</v>
      </c>
      <c r="N112" s="304">
        <f>N113+N114</f>
        <v>37310.1</v>
      </c>
      <c r="O112" s="304">
        <f>O113+O114</f>
        <v>18146.400000000001</v>
      </c>
      <c r="P112" s="315"/>
      <c r="Q112" s="303"/>
      <c r="R112" s="401">
        <f t="shared" si="19"/>
        <v>48.63669622970724</v>
      </c>
    </row>
    <row r="113" spans="1:18" ht="51.75" customHeight="1" x14ac:dyDescent="0.2">
      <c r="A113" s="42"/>
      <c r="B113" s="168" t="s">
        <v>35</v>
      </c>
      <c r="C113" s="169" t="s">
        <v>130</v>
      </c>
      <c r="D113" s="170" t="s">
        <v>36</v>
      </c>
      <c r="E113" s="171"/>
      <c r="F113" s="172">
        <v>9794.1</v>
      </c>
      <c r="G113" s="172"/>
      <c r="H113" s="172">
        <f>SUM(F113)+G113</f>
        <v>9794.1</v>
      </c>
      <c r="I113" s="188">
        <v>10000</v>
      </c>
      <c r="J113" s="189"/>
      <c r="K113" s="189">
        <f>SUM(I113)</f>
        <v>10000</v>
      </c>
      <c r="L113" s="172">
        <f>F113+I113</f>
        <v>19794.099999999999</v>
      </c>
      <c r="M113" s="254">
        <f>G113+J113</f>
        <v>0</v>
      </c>
      <c r="N113" s="304">
        <f>H113+K113</f>
        <v>19794.099999999999</v>
      </c>
      <c r="O113" s="309">
        <v>14768.6</v>
      </c>
      <c r="P113" s="319"/>
      <c r="Q113" s="303"/>
      <c r="R113" s="401">
        <f t="shared" si="19"/>
        <v>74.611121495799253</v>
      </c>
    </row>
    <row r="114" spans="1:18" ht="47.25" x14ac:dyDescent="0.2">
      <c r="A114" s="42"/>
      <c r="B114" s="168" t="s">
        <v>131</v>
      </c>
      <c r="C114" s="169" t="s">
        <v>130</v>
      </c>
      <c r="D114" s="170" t="s">
        <v>132</v>
      </c>
      <c r="E114" s="171"/>
      <c r="F114" s="172">
        <v>480</v>
      </c>
      <c r="G114" s="172"/>
      <c r="H114" s="172">
        <f>SUM(F114:G114)</f>
        <v>480</v>
      </c>
      <c r="I114" s="188">
        <v>17036</v>
      </c>
      <c r="J114" s="172"/>
      <c r="K114" s="189">
        <f>SUM(I114)</f>
        <v>17036</v>
      </c>
      <c r="L114" s="172">
        <f>SUM(F114+I114)</f>
        <v>17516</v>
      </c>
      <c r="M114" s="172">
        <f>SUM(J114)+G114</f>
        <v>0</v>
      </c>
      <c r="N114" s="304">
        <f>SUM(H114+K114)</f>
        <v>17516</v>
      </c>
      <c r="O114" s="309">
        <v>3377.8</v>
      </c>
      <c r="P114" s="319"/>
      <c r="Q114" s="303"/>
      <c r="R114" s="401">
        <f t="shared" si="19"/>
        <v>19.284083124000915</v>
      </c>
    </row>
    <row r="115" spans="1:18" ht="157.5" x14ac:dyDescent="0.2">
      <c r="A115" s="42"/>
      <c r="B115" s="168" t="s">
        <v>133</v>
      </c>
      <c r="C115" s="169" t="s">
        <v>134</v>
      </c>
      <c r="D115" s="170"/>
      <c r="E115" s="171"/>
      <c r="F115" s="188">
        <f>F116</f>
        <v>0</v>
      </c>
      <c r="G115" s="188">
        <f t="shared" ref="G115:N115" si="29">G116</f>
        <v>0</v>
      </c>
      <c r="H115" s="188">
        <f t="shared" si="29"/>
        <v>0</v>
      </c>
      <c r="I115" s="188">
        <f t="shared" si="29"/>
        <v>26656.5</v>
      </c>
      <c r="J115" s="188">
        <f t="shared" si="29"/>
        <v>0</v>
      </c>
      <c r="K115" s="188">
        <f t="shared" si="29"/>
        <v>26656.5</v>
      </c>
      <c r="L115" s="188">
        <f t="shared" si="29"/>
        <v>26656.5</v>
      </c>
      <c r="M115" s="188">
        <f t="shared" si="29"/>
        <v>0</v>
      </c>
      <c r="N115" s="305">
        <f t="shared" si="29"/>
        <v>26656.5</v>
      </c>
      <c r="O115" s="309">
        <v>26066.5</v>
      </c>
      <c r="P115" s="319"/>
      <c r="Q115" s="303"/>
      <c r="R115" s="401">
        <f t="shared" si="19"/>
        <v>97.786656162662013</v>
      </c>
    </row>
    <row r="116" spans="1:18" ht="34.15" customHeight="1" x14ac:dyDescent="0.2">
      <c r="A116" s="42"/>
      <c r="B116" s="168" t="s">
        <v>35</v>
      </c>
      <c r="C116" s="169" t="s">
        <v>134</v>
      </c>
      <c r="D116" s="170" t="s">
        <v>36</v>
      </c>
      <c r="E116" s="171"/>
      <c r="F116" s="172"/>
      <c r="G116" s="172"/>
      <c r="H116" s="172"/>
      <c r="I116" s="188">
        <v>26656.5</v>
      </c>
      <c r="J116" s="189"/>
      <c r="K116" s="189">
        <f>SUM(I116:J116)</f>
        <v>26656.5</v>
      </c>
      <c r="L116" s="172">
        <f>F116+I116</f>
        <v>26656.5</v>
      </c>
      <c r="M116" s="172">
        <f>G116+J116</f>
        <v>0</v>
      </c>
      <c r="N116" s="304">
        <f>H116+K116</f>
        <v>26656.5</v>
      </c>
      <c r="O116" s="309">
        <v>26066.5</v>
      </c>
      <c r="P116" s="319"/>
      <c r="Q116" s="303"/>
      <c r="R116" s="401">
        <f t="shared" si="19"/>
        <v>97.786656162662013</v>
      </c>
    </row>
    <row r="117" spans="1:18" ht="0.75" customHeight="1" x14ac:dyDescent="0.2">
      <c r="A117" s="42"/>
      <c r="B117" s="168" t="s">
        <v>135</v>
      </c>
      <c r="C117" s="169" t="s">
        <v>136</v>
      </c>
      <c r="D117" s="170" t="s">
        <v>26</v>
      </c>
      <c r="E117" s="171"/>
      <c r="F117" s="172">
        <f>F118</f>
        <v>0</v>
      </c>
      <c r="G117" s="172">
        <f>G118</f>
        <v>0</v>
      </c>
      <c r="H117" s="172">
        <f>H118</f>
        <v>0</v>
      </c>
      <c r="I117" s="188">
        <f>I118</f>
        <v>0</v>
      </c>
      <c r="J117" s="189"/>
      <c r="K117" s="188">
        <f>K118</f>
        <v>0</v>
      </c>
      <c r="L117" s="172">
        <f>L118</f>
        <v>0</v>
      </c>
      <c r="M117" s="172">
        <f>M118</f>
        <v>0</v>
      </c>
      <c r="N117" s="304">
        <f>N118</f>
        <v>0</v>
      </c>
      <c r="O117" s="308"/>
      <c r="P117" s="320"/>
      <c r="Q117" s="303"/>
      <c r="R117" s="401" t="e">
        <f t="shared" si="19"/>
        <v>#DIV/0!</v>
      </c>
    </row>
    <row r="118" spans="1:18" ht="2.25" customHeight="1" x14ac:dyDescent="0.2">
      <c r="A118" s="42"/>
      <c r="B118" s="168" t="s">
        <v>35</v>
      </c>
      <c r="C118" s="169" t="s">
        <v>136</v>
      </c>
      <c r="D118" s="170" t="s">
        <v>36</v>
      </c>
      <c r="E118" s="171"/>
      <c r="F118" s="172">
        <v>0</v>
      </c>
      <c r="G118" s="172"/>
      <c r="H118" s="172">
        <v>0</v>
      </c>
      <c r="I118" s="188">
        <v>0</v>
      </c>
      <c r="J118" s="189"/>
      <c r="K118" s="188">
        <v>0</v>
      </c>
      <c r="L118" s="172">
        <f>SUM(F118)</f>
        <v>0</v>
      </c>
      <c r="M118" s="172">
        <f>SUM(G118)</f>
        <v>0</v>
      </c>
      <c r="N118" s="304">
        <f>SUM(H118)</f>
        <v>0</v>
      </c>
      <c r="O118" s="308"/>
      <c r="P118" s="320"/>
      <c r="Q118" s="303"/>
      <c r="R118" s="401" t="e">
        <f t="shared" si="19"/>
        <v>#DIV/0!</v>
      </c>
    </row>
    <row r="119" spans="1:18" ht="63" x14ac:dyDescent="0.2">
      <c r="A119" s="42"/>
      <c r="B119" s="168" t="s">
        <v>137</v>
      </c>
      <c r="C119" s="169" t="s">
        <v>138</v>
      </c>
      <c r="D119" s="170" t="s">
        <v>26</v>
      </c>
      <c r="E119" s="171"/>
      <c r="F119" s="172">
        <f t="shared" ref="F119:N120" si="30">F120</f>
        <v>8182.1</v>
      </c>
      <c r="G119" s="172">
        <f t="shared" si="30"/>
        <v>0</v>
      </c>
      <c r="H119" s="172">
        <f t="shared" si="30"/>
        <v>8182.1</v>
      </c>
      <c r="I119" s="188">
        <f t="shared" si="30"/>
        <v>0</v>
      </c>
      <c r="J119" s="189"/>
      <c r="K119" s="188">
        <f t="shared" si="30"/>
        <v>0</v>
      </c>
      <c r="L119" s="172">
        <f t="shared" si="30"/>
        <v>8182.1</v>
      </c>
      <c r="M119" s="172">
        <f t="shared" si="30"/>
        <v>0</v>
      </c>
      <c r="N119" s="304">
        <f t="shared" si="30"/>
        <v>8182.1</v>
      </c>
      <c r="O119" s="309">
        <v>7161</v>
      </c>
      <c r="P119" s="319"/>
      <c r="Q119" s="303"/>
      <c r="R119" s="401">
        <f t="shared" si="19"/>
        <v>87.520318744576571</v>
      </c>
    </row>
    <row r="120" spans="1:18" ht="110.25" x14ac:dyDescent="0.2">
      <c r="A120" s="42"/>
      <c r="B120" s="168" t="s">
        <v>135</v>
      </c>
      <c r="C120" s="169" t="s">
        <v>139</v>
      </c>
      <c r="D120" s="170" t="s">
        <v>26</v>
      </c>
      <c r="E120" s="171"/>
      <c r="F120" s="172">
        <f t="shared" si="30"/>
        <v>8182.1</v>
      </c>
      <c r="G120" s="172">
        <f t="shared" si="30"/>
        <v>0</v>
      </c>
      <c r="H120" s="172">
        <f t="shared" si="30"/>
        <v>8182.1</v>
      </c>
      <c r="I120" s="188">
        <f t="shared" si="30"/>
        <v>0</v>
      </c>
      <c r="J120" s="189"/>
      <c r="K120" s="188">
        <f t="shared" si="30"/>
        <v>0</v>
      </c>
      <c r="L120" s="172">
        <f t="shared" si="30"/>
        <v>8182.1</v>
      </c>
      <c r="M120" s="172">
        <f t="shared" si="30"/>
        <v>0</v>
      </c>
      <c r="N120" s="304">
        <f t="shared" si="30"/>
        <v>8182.1</v>
      </c>
      <c r="O120" s="309">
        <v>7161</v>
      </c>
      <c r="P120" s="319"/>
      <c r="Q120" s="303"/>
      <c r="R120" s="401">
        <f t="shared" si="19"/>
        <v>87.520318744576571</v>
      </c>
    </row>
    <row r="121" spans="1:18" ht="63" x14ac:dyDescent="0.2">
      <c r="A121" s="42"/>
      <c r="B121" s="168" t="s">
        <v>35</v>
      </c>
      <c r="C121" s="169" t="s">
        <v>139</v>
      </c>
      <c r="D121" s="170" t="s">
        <v>36</v>
      </c>
      <c r="E121" s="171"/>
      <c r="F121" s="172">
        <v>8182.1</v>
      </c>
      <c r="G121" s="172"/>
      <c r="H121" s="172">
        <f>F121+G121</f>
        <v>8182.1</v>
      </c>
      <c r="I121" s="188">
        <v>0</v>
      </c>
      <c r="J121" s="189"/>
      <c r="K121" s="188">
        <v>0</v>
      </c>
      <c r="L121" s="172">
        <f>SUM(F121)</f>
        <v>8182.1</v>
      </c>
      <c r="M121" s="172">
        <f>SUM(G121)</f>
        <v>0</v>
      </c>
      <c r="N121" s="304">
        <f>SUM(H121)</f>
        <v>8182.1</v>
      </c>
      <c r="O121" s="309">
        <v>7161</v>
      </c>
      <c r="P121" s="319"/>
      <c r="Q121" s="303"/>
      <c r="R121" s="401">
        <f t="shared" si="19"/>
        <v>87.520318744576571</v>
      </c>
    </row>
    <row r="122" spans="1:18" ht="31.5" x14ac:dyDescent="0.2">
      <c r="A122" s="368"/>
      <c r="B122" s="206" t="s">
        <v>140</v>
      </c>
      <c r="C122" s="207" t="s">
        <v>141</v>
      </c>
      <c r="D122" s="208" t="s">
        <v>26</v>
      </c>
      <c r="E122" s="209"/>
      <c r="F122" s="210">
        <f>F123+F132+F127+F135</f>
        <v>18056.500000000004</v>
      </c>
      <c r="G122" s="172">
        <f>G123+G127+G135</f>
        <v>0</v>
      </c>
      <c r="H122" s="210">
        <f>H123+H132+H127+H135</f>
        <v>18056.500000000004</v>
      </c>
      <c r="I122" s="211">
        <f>I123+I132</f>
        <v>0</v>
      </c>
      <c r="J122" s="210">
        <f>J123+J132</f>
        <v>0</v>
      </c>
      <c r="K122" s="211">
        <f>K123+K132</f>
        <v>0</v>
      </c>
      <c r="L122" s="210">
        <f>L123+L132+L127+L135</f>
        <v>18056.500000000004</v>
      </c>
      <c r="M122" s="210">
        <f>M123+M132+M127+M135+M130</f>
        <v>0</v>
      </c>
      <c r="N122" s="333">
        <f>N123+N132+N127+N135</f>
        <v>18056.500000000004</v>
      </c>
      <c r="O122" s="333">
        <f>O123+O132+O127+O135</f>
        <v>18042.3</v>
      </c>
      <c r="P122" s="373"/>
      <c r="Q122" s="371"/>
      <c r="R122" s="401">
        <f t="shared" si="19"/>
        <v>99.921357959737463</v>
      </c>
    </row>
    <row r="123" spans="1:18" ht="94.5" x14ac:dyDescent="0.2">
      <c r="A123" s="42"/>
      <c r="B123" s="168" t="s">
        <v>142</v>
      </c>
      <c r="C123" s="169" t="s">
        <v>143</v>
      </c>
      <c r="D123" s="170" t="s">
        <v>26</v>
      </c>
      <c r="E123" s="171"/>
      <c r="F123" s="172">
        <f>F124</f>
        <v>9290.5</v>
      </c>
      <c r="G123" s="172">
        <f>G124</f>
        <v>0</v>
      </c>
      <c r="H123" s="172">
        <f>H124</f>
        <v>9290.5</v>
      </c>
      <c r="I123" s="188">
        <f>I124</f>
        <v>0</v>
      </c>
      <c r="J123" s="189"/>
      <c r="K123" s="188">
        <f>K124</f>
        <v>0</v>
      </c>
      <c r="L123" s="172">
        <f>L124</f>
        <v>9290.5</v>
      </c>
      <c r="M123" s="172">
        <f>M124</f>
        <v>0</v>
      </c>
      <c r="N123" s="304">
        <f>N124</f>
        <v>9290.5</v>
      </c>
      <c r="O123" s="304">
        <f>O124</f>
        <v>9276.5</v>
      </c>
      <c r="P123" s="315"/>
      <c r="Q123" s="303"/>
      <c r="R123" s="401">
        <f t="shared" si="19"/>
        <v>99.849308433345897</v>
      </c>
    </row>
    <row r="124" spans="1:18" ht="47.25" x14ac:dyDescent="0.2">
      <c r="A124" s="42"/>
      <c r="B124" s="168" t="s">
        <v>39</v>
      </c>
      <c r="C124" s="169" t="s">
        <v>144</v>
      </c>
      <c r="D124" s="170" t="s">
        <v>26</v>
      </c>
      <c r="E124" s="171"/>
      <c r="F124" s="172">
        <f>F125+F126</f>
        <v>9290.5</v>
      </c>
      <c r="G124" s="172">
        <f>G125+G126</f>
        <v>0</v>
      </c>
      <c r="H124" s="172">
        <f>H125+H126</f>
        <v>9290.5</v>
      </c>
      <c r="I124" s="188">
        <f>I125+I126</f>
        <v>0</v>
      </c>
      <c r="J124" s="189"/>
      <c r="K124" s="188">
        <f>K125+K126</f>
        <v>0</v>
      </c>
      <c r="L124" s="172">
        <f>L125+L126</f>
        <v>9290.5</v>
      </c>
      <c r="M124" s="172">
        <f>M125+M126</f>
        <v>0</v>
      </c>
      <c r="N124" s="304">
        <f>N125+N126</f>
        <v>9290.5</v>
      </c>
      <c r="O124" s="304">
        <f>O125+O126</f>
        <v>9276.5</v>
      </c>
      <c r="P124" s="315"/>
      <c r="Q124" s="303"/>
      <c r="R124" s="401">
        <f t="shared" si="19"/>
        <v>99.849308433345897</v>
      </c>
    </row>
    <row r="125" spans="1:18" ht="64.900000000000006" customHeight="1" x14ac:dyDescent="0.2">
      <c r="A125" s="42"/>
      <c r="B125" s="168" t="s">
        <v>31</v>
      </c>
      <c r="C125" s="169" t="s">
        <v>144</v>
      </c>
      <c r="D125" s="170" t="s">
        <v>32</v>
      </c>
      <c r="E125" s="171"/>
      <c r="F125" s="172">
        <v>8871.2000000000007</v>
      </c>
      <c r="G125" s="172"/>
      <c r="H125" s="172">
        <f>SUM(F125)</f>
        <v>8871.2000000000007</v>
      </c>
      <c r="I125" s="188">
        <v>0</v>
      </c>
      <c r="J125" s="189"/>
      <c r="K125" s="188">
        <v>0</v>
      </c>
      <c r="L125" s="172">
        <f>SUM(F125)</f>
        <v>8871.2000000000007</v>
      </c>
      <c r="M125" s="172">
        <f>SUM(G125)</f>
        <v>0</v>
      </c>
      <c r="N125" s="304">
        <f>SUM(H125)</f>
        <v>8871.2000000000007</v>
      </c>
      <c r="O125" s="309">
        <v>8857.2000000000007</v>
      </c>
      <c r="P125" s="319"/>
      <c r="Q125" s="303"/>
      <c r="R125" s="401">
        <f t="shared" si="19"/>
        <v>99.842185950040587</v>
      </c>
    </row>
    <row r="126" spans="1:18" ht="63" x14ac:dyDescent="0.2">
      <c r="A126" s="42"/>
      <c r="B126" s="168" t="s">
        <v>35</v>
      </c>
      <c r="C126" s="169" t="s">
        <v>144</v>
      </c>
      <c r="D126" s="170" t="s">
        <v>36</v>
      </c>
      <c r="E126" s="171"/>
      <c r="F126" s="172">
        <v>419.3</v>
      </c>
      <c r="G126" s="172"/>
      <c r="H126" s="172">
        <f>SUM(F126)+G126</f>
        <v>419.3</v>
      </c>
      <c r="I126" s="188">
        <v>0</v>
      </c>
      <c r="J126" s="189"/>
      <c r="K126" s="188">
        <v>0</v>
      </c>
      <c r="L126" s="172">
        <f t="shared" ref="L126:N129" si="31">SUM(F126)</f>
        <v>419.3</v>
      </c>
      <c r="M126" s="172">
        <f t="shared" si="31"/>
        <v>0</v>
      </c>
      <c r="N126" s="304">
        <f t="shared" si="31"/>
        <v>419.3</v>
      </c>
      <c r="O126" s="309">
        <v>419.3</v>
      </c>
      <c r="P126" s="319"/>
      <c r="Q126" s="303"/>
      <c r="R126" s="401">
        <f t="shared" si="19"/>
        <v>100</v>
      </c>
    </row>
    <row r="127" spans="1:18" ht="31.5" x14ac:dyDescent="0.2">
      <c r="A127" s="42"/>
      <c r="B127" s="168" t="s">
        <v>145</v>
      </c>
      <c r="C127" s="169" t="s">
        <v>146</v>
      </c>
      <c r="D127" s="170"/>
      <c r="E127" s="171"/>
      <c r="F127" s="172">
        <f>SUM(F130)+F128</f>
        <v>914.9</v>
      </c>
      <c r="G127" s="172"/>
      <c r="H127" s="172">
        <f>SUM(H130)+H128</f>
        <v>914.9</v>
      </c>
      <c r="I127" s="188"/>
      <c r="J127" s="189"/>
      <c r="K127" s="188"/>
      <c r="L127" s="172">
        <f t="shared" si="31"/>
        <v>914.9</v>
      </c>
      <c r="M127" s="172">
        <f t="shared" si="31"/>
        <v>0</v>
      </c>
      <c r="N127" s="304">
        <f t="shared" si="31"/>
        <v>914.9</v>
      </c>
      <c r="O127" s="304">
        <v>914.8</v>
      </c>
      <c r="P127" s="315"/>
      <c r="Q127" s="303"/>
      <c r="R127" s="401">
        <f t="shared" si="19"/>
        <v>99.989069843698758</v>
      </c>
    </row>
    <row r="128" spans="1:18" ht="31.5" x14ac:dyDescent="0.2">
      <c r="A128" s="42"/>
      <c r="B128" s="168" t="s">
        <v>147</v>
      </c>
      <c r="C128" s="169" t="s">
        <v>148</v>
      </c>
      <c r="D128" s="170"/>
      <c r="E128" s="171"/>
      <c r="F128" s="172">
        <f>SUM(F131)+F129</f>
        <v>914.9</v>
      </c>
      <c r="G128" s="172"/>
      <c r="H128" s="172">
        <f>SUM(F128)+G128</f>
        <v>914.9</v>
      </c>
      <c r="I128" s="188"/>
      <c r="J128" s="189"/>
      <c r="K128" s="188"/>
      <c r="L128" s="172">
        <f t="shared" si="31"/>
        <v>914.9</v>
      </c>
      <c r="M128" s="172">
        <f t="shared" si="31"/>
        <v>0</v>
      </c>
      <c r="N128" s="304">
        <v>799.9</v>
      </c>
      <c r="O128" s="304">
        <v>799.9</v>
      </c>
      <c r="P128" s="315"/>
      <c r="Q128" s="303"/>
      <c r="R128" s="401">
        <f t="shared" si="19"/>
        <v>100</v>
      </c>
    </row>
    <row r="129" spans="1:18" ht="24" customHeight="1" x14ac:dyDescent="0.2">
      <c r="A129" s="42"/>
      <c r="B129" s="168" t="s">
        <v>35</v>
      </c>
      <c r="C129" s="169" t="s">
        <v>148</v>
      </c>
      <c r="D129" s="170" t="s">
        <v>36</v>
      </c>
      <c r="E129" s="171"/>
      <c r="F129" s="172">
        <v>799.9</v>
      </c>
      <c r="G129" s="172"/>
      <c r="H129" s="172">
        <f>SUM(F129)+G129</f>
        <v>799.9</v>
      </c>
      <c r="I129" s="188"/>
      <c r="J129" s="189"/>
      <c r="K129" s="188"/>
      <c r="L129" s="172">
        <f t="shared" si="31"/>
        <v>799.9</v>
      </c>
      <c r="M129" s="172">
        <f t="shared" si="31"/>
        <v>0</v>
      </c>
      <c r="N129" s="304">
        <f t="shared" si="31"/>
        <v>799.9</v>
      </c>
      <c r="O129" s="309">
        <v>799.8</v>
      </c>
      <c r="P129" s="319"/>
      <c r="Q129" s="303"/>
      <c r="R129" s="401">
        <f t="shared" si="19"/>
        <v>99.987498437304652</v>
      </c>
    </row>
    <row r="130" spans="1:18" ht="47.25" x14ac:dyDescent="0.2">
      <c r="A130" s="42"/>
      <c r="B130" s="168" t="s">
        <v>488</v>
      </c>
      <c r="C130" s="169" t="s">
        <v>487</v>
      </c>
      <c r="D130" s="170"/>
      <c r="E130" s="171"/>
      <c r="F130" s="172"/>
      <c r="G130" s="172"/>
      <c r="H130" s="172">
        <f>SUM(G130)</f>
        <v>0</v>
      </c>
      <c r="I130" s="188"/>
      <c r="J130" s="189"/>
      <c r="K130" s="188"/>
      <c r="L130" s="172"/>
      <c r="M130" s="172">
        <f>SUM(G130)</f>
        <v>0</v>
      </c>
      <c r="N130" s="304">
        <f>SUM(H130)+N131</f>
        <v>115</v>
      </c>
      <c r="O130" s="304">
        <f>SUM(I130)+O131</f>
        <v>115</v>
      </c>
      <c r="P130" s="315"/>
      <c r="Q130" s="303"/>
      <c r="R130" s="401">
        <f t="shared" si="19"/>
        <v>100</v>
      </c>
    </row>
    <row r="131" spans="1:18" ht="21" customHeight="1" x14ac:dyDescent="0.2">
      <c r="A131" s="42"/>
      <c r="B131" s="168" t="s">
        <v>41</v>
      </c>
      <c r="C131" s="169" t="s">
        <v>487</v>
      </c>
      <c r="D131" s="170" t="s">
        <v>42</v>
      </c>
      <c r="E131" s="171"/>
      <c r="F131" s="172">
        <v>115</v>
      </c>
      <c r="G131" s="172"/>
      <c r="H131" s="172">
        <f>SUM(F131)</f>
        <v>115</v>
      </c>
      <c r="I131" s="188"/>
      <c r="J131" s="189"/>
      <c r="K131" s="188"/>
      <c r="L131" s="172">
        <f>SUM(F131)</f>
        <v>115</v>
      </c>
      <c r="M131" s="172">
        <f>SUM(G131)</f>
        <v>0</v>
      </c>
      <c r="N131" s="304">
        <f>SUM(H131)</f>
        <v>115</v>
      </c>
      <c r="O131" s="309">
        <v>115</v>
      </c>
      <c r="P131" s="319"/>
      <c r="Q131" s="303"/>
      <c r="R131" s="401">
        <f t="shared" si="19"/>
        <v>100</v>
      </c>
    </row>
    <row r="132" spans="1:18" ht="94.5" x14ac:dyDescent="0.2">
      <c r="A132" s="42"/>
      <c r="B132" s="168" t="s">
        <v>149</v>
      </c>
      <c r="C132" s="169" t="s">
        <v>150</v>
      </c>
      <c r="D132" s="170" t="s">
        <v>26</v>
      </c>
      <c r="E132" s="171"/>
      <c r="F132" s="172">
        <f t="shared" ref="F132:N133" si="32">F133</f>
        <v>7530.9</v>
      </c>
      <c r="G132" s="172">
        <f t="shared" si="32"/>
        <v>0</v>
      </c>
      <c r="H132" s="172">
        <f t="shared" si="32"/>
        <v>7530.9</v>
      </c>
      <c r="I132" s="188">
        <f t="shared" si="32"/>
        <v>0</v>
      </c>
      <c r="J132" s="189"/>
      <c r="K132" s="188">
        <f t="shared" si="32"/>
        <v>0</v>
      </c>
      <c r="L132" s="172">
        <f t="shared" si="32"/>
        <v>7530.9</v>
      </c>
      <c r="M132" s="172">
        <f t="shared" si="32"/>
        <v>0</v>
      </c>
      <c r="N132" s="304">
        <f t="shared" si="32"/>
        <v>7530.9</v>
      </c>
      <c r="O132" s="309">
        <v>7530.9</v>
      </c>
      <c r="P132" s="319"/>
      <c r="Q132" s="303"/>
      <c r="R132" s="401">
        <f t="shared" si="19"/>
        <v>100</v>
      </c>
    </row>
    <row r="133" spans="1:18" ht="47.25" x14ac:dyDescent="0.2">
      <c r="A133" s="42"/>
      <c r="B133" s="168" t="s">
        <v>39</v>
      </c>
      <c r="C133" s="169" t="s">
        <v>151</v>
      </c>
      <c r="D133" s="170" t="s">
        <v>26</v>
      </c>
      <c r="E133" s="171"/>
      <c r="F133" s="172">
        <f t="shared" si="32"/>
        <v>7530.9</v>
      </c>
      <c r="G133" s="172">
        <f t="shared" si="32"/>
        <v>0</v>
      </c>
      <c r="H133" s="172">
        <f t="shared" si="32"/>
        <v>7530.9</v>
      </c>
      <c r="I133" s="188">
        <f t="shared" si="32"/>
        <v>0</v>
      </c>
      <c r="J133" s="189"/>
      <c r="K133" s="188">
        <f t="shared" si="32"/>
        <v>0</v>
      </c>
      <c r="L133" s="172">
        <f t="shared" si="32"/>
        <v>7530.9</v>
      </c>
      <c r="M133" s="172">
        <f t="shared" si="32"/>
        <v>0</v>
      </c>
      <c r="N133" s="304">
        <f t="shared" si="32"/>
        <v>7530.9</v>
      </c>
      <c r="O133" s="309">
        <v>7530.9</v>
      </c>
      <c r="P133" s="319"/>
      <c r="Q133" s="303"/>
      <c r="R133" s="401">
        <f t="shared" si="19"/>
        <v>100</v>
      </c>
    </row>
    <row r="134" spans="1:18" ht="63" x14ac:dyDescent="0.2">
      <c r="A134" s="42"/>
      <c r="B134" s="168" t="s">
        <v>74</v>
      </c>
      <c r="C134" s="169" t="s">
        <v>151</v>
      </c>
      <c r="D134" s="170" t="s">
        <v>75</v>
      </c>
      <c r="E134" s="171"/>
      <c r="F134" s="172">
        <v>7530.9</v>
      </c>
      <c r="G134" s="172"/>
      <c r="H134" s="172">
        <f>SUM(F134)</f>
        <v>7530.9</v>
      </c>
      <c r="I134" s="188">
        <v>0</v>
      </c>
      <c r="J134" s="189"/>
      <c r="K134" s="188">
        <v>0</v>
      </c>
      <c r="L134" s="172">
        <f>SUM(F134)</f>
        <v>7530.9</v>
      </c>
      <c r="M134" s="172">
        <f>SUM(G134)</f>
        <v>0</v>
      </c>
      <c r="N134" s="304">
        <f>SUM(L134+M134)</f>
        <v>7530.9</v>
      </c>
      <c r="O134" s="309">
        <v>7530.9</v>
      </c>
      <c r="P134" s="319"/>
      <c r="Q134" s="303"/>
      <c r="R134" s="401">
        <f t="shared" si="19"/>
        <v>100</v>
      </c>
    </row>
    <row r="135" spans="1:18" ht="34.5" customHeight="1" x14ac:dyDescent="0.2">
      <c r="A135" s="42"/>
      <c r="B135" s="197" t="s">
        <v>152</v>
      </c>
      <c r="C135" s="169" t="s">
        <v>153</v>
      </c>
      <c r="D135" s="170"/>
      <c r="E135" s="171"/>
      <c r="F135" s="201">
        <v>320.2</v>
      </c>
      <c r="G135" s="172">
        <f>SUM(G138)+G137</f>
        <v>0</v>
      </c>
      <c r="H135" s="172">
        <f>SUM(F135:G135)</f>
        <v>320.2</v>
      </c>
      <c r="I135" s="188"/>
      <c r="J135" s="189"/>
      <c r="K135" s="188"/>
      <c r="L135" s="172">
        <f>SUM(F136)</f>
        <v>320.2</v>
      </c>
      <c r="M135" s="172">
        <f t="shared" ref="M135:N138" si="33">SUM(G135)</f>
        <v>0</v>
      </c>
      <c r="N135" s="304">
        <f t="shared" si="33"/>
        <v>320.2</v>
      </c>
      <c r="O135" s="309">
        <v>320.10000000000002</v>
      </c>
      <c r="P135" s="319"/>
      <c r="Q135" s="303"/>
      <c r="R135" s="401">
        <f t="shared" si="19"/>
        <v>99.96876951905061</v>
      </c>
    </row>
    <row r="136" spans="1:18" ht="47.25" x14ac:dyDescent="0.2">
      <c r="A136" s="42"/>
      <c r="B136" s="168" t="s">
        <v>154</v>
      </c>
      <c r="C136" s="169" t="s">
        <v>155</v>
      </c>
      <c r="D136" s="170"/>
      <c r="E136" s="171"/>
      <c r="F136" s="201">
        <v>320.2</v>
      </c>
      <c r="G136" s="172">
        <f>G137+G138</f>
        <v>0</v>
      </c>
      <c r="H136" s="172">
        <f>SUM(F136:G136)</f>
        <v>320.2</v>
      </c>
      <c r="I136" s="188"/>
      <c r="J136" s="189"/>
      <c r="K136" s="188"/>
      <c r="L136" s="201">
        <f>L137</f>
        <v>320.2</v>
      </c>
      <c r="M136" s="172">
        <f t="shared" si="33"/>
        <v>0</v>
      </c>
      <c r="N136" s="304">
        <f>SUM(H136)</f>
        <v>320.2</v>
      </c>
      <c r="O136" s="309">
        <v>320.10000000000002</v>
      </c>
      <c r="P136" s="319"/>
      <c r="Q136" s="303"/>
      <c r="R136" s="401">
        <f t="shared" si="19"/>
        <v>99.96876951905061</v>
      </c>
    </row>
    <row r="137" spans="1:18" ht="27.75" customHeight="1" x14ac:dyDescent="0.2">
      <c r="A137" s="42"/>
      <c r="B137" s="168" t="s">
        <v>35</v>
      </c>
      <c r="C137" s="169" t="s">
        <v>155</v>
      </c>
      <c r="D137" s="170" t="s">
        <v>36</v>
      </c>
      <c r="E137" s="171"/>
      <c r="F137" s="201">
        <v>320.2</v>
      </c>
      <c r="G137" s="172"/>
      <c r="H137" s="172">
        <f>SUM(F137)+G137</f>
        <v>320.2</v>
      </c>
      <c r="I137" s="188"/>
      <c r="J137" s="189"/>
      <c r="K137" s="188"/>
      <c r="L137" s="172">
        <f>SUM(F137)</f>
        <v>320.2</v>
      </c>
      <c r="M137" s="172">
        <f>SUM(G137)</f>
        <v>0</v>
      </c>
      <c r="N137" s="304">
        <f t="shared" si="33"/>
        <v>320.2</v>
      </c>
      <c r="O137" s="309">
        <v>320.10000000000002</v>
      </c>
      <c r="P137" s="319"/>
      <c r="Q137" s="303"/>
      <c r="R137" s="401">
        <f t="shared" si="19"/>
        <v>99.96876951905061</v>
      </c>
    </row>
    <row r="138" spans="1:18" ht="47.25" hidden="1" customHeight="1" x14ac:dyDescent="0.2">
      <c r="A138" s="42"/>
      <c r="B138" s="168" t="s">
        <v>131</v>
      </c>
      <c r="C138" s="169" t="s">
        <v>155</v>
      </c>
      <c r="D138" s="170" t="s">
        <v>132</v>
      </c>
      <c r="E138" s="171"/>
      <c r="F138" s="172">
        <v>0</v>
      </c>
      <c r="G138" s="172"/>
      <c r="H138" s="172">
        <f>SUM(F138)+G138</f>
        <v>0</v>
      </c>
      <c r="I138" s="188"/>
      <c r="J138" s="189"/>
      <c r="K138" s="188"/>
      <c r="L138" s="172">
        <f>SUM(F138)</f>
        <v>0</v>
      </c>
      <c r="M138" s="172">
        <f t="shared" si="33"/>
        <v>0</v>
      </c>
      <c r="N138" s="304">
        <f t="shared" si="33"/>
        <v>0</v>
      </c>
      <c r="O138" s="308"/>
      <c r="P138" s="320"/>
      <c r="Q138" s="303"/>
      <c r="R138" s="401" t="e">
        <f t="shared" si="19"/>
        <v>#DIV/0!</v>
      </c>
    </row>
    <row r="139" spans="1:18" ht="18.75" hidden="1" x14ac:dyDescent="0.2">
      <c r="A139" s="42"/>
      <c r="B139" s="168"/>
      <c r="C139" s="169"/>
      <c r="D139" s="170"/>
      <c r="E139" s="171"/>
      <c r="F139" s="172"/>
      <c r="G139" s="172"/>
      <c r="H139" s="172"/>
      <c r="I139" s="188"/>
      <c r="J139" s="189"/>
      <c r="K139" s="188"/>
      <c r="L139" s="172"/>
      <c r="M139" s="172">
        <f t="shared" ref="M139:N142" si="34">SUM(G139)</f>
        <v>0</v>
      </c>
      <c r="N139" s="304">
        <f t="shared" si="34"/>
        <v>0</v>
      </c>
      <c r="O139" s="308"/>
      <c r="P139" s="320"/>
      <c r="Q139" s="303"/>
      <c r="R139" s="401" t="e">
        <f t="shared" si="19"/>
        <v>#DIV/0!</v>
      </c>
    </row>
    <row r="140" spans="1:18" ht="18.75" hidden="1" x14ac:dyDescent="0.2">
      <c r="A140" s="42"/>
      <c r="B140" s="168"/>
      <c r="C140" s="169"/>
      <c r="D140" s="170"/>
      <c r="E140" s="171"/>
      <c r="F140" s="172"/>
      <c r="G140" s="172"/>
      <c r="H140" s="172"/>
      <c r="I140" s="188"/>
      <c r="J140" s="189"/>
      <c r="K140" s="188"/>
      <c r="L140" s="172"/>
      <c r="M140" s="172">
        <f t="shared" si="34"/>
        <v>0</v>
      </c>
      <c r="N140" s="304">
        <f t="shared" si="34"/>
        <v>0</v>
      </c>
      <c r="O140" s="308"/>
      <c r="P140" s="320"/>
      <c r="Q140" s="303"/>
      <c r="R140" s="401" t="e">
        <f t="shared" si="19"/>
        <v>#DIV/0!</v>
      </c>
    </row>
    <row r="141" spans="1:18" ht="18.75" hidden="1" x14ac:dyDescent="0.2">
      <c r="A141" s="42"/>
      <c r="B141" s="168"/>
      <c r="C141" s="169"/>
      <c r="D141" s="170"/>
      <c r="E141" s="171"/>
      <c r="F141" s="172"/>
      <c r="G141" s="172"/>
      <c r="H141" s="172"/>
      <c r="I141" s="188"/>
      <c r="J141" s="189"/>
      <c r="K141" s="188"/>
      <c r="L141" s="172"/>
      <c r="M141" s="172">
        <f t="shared" si="34"/>
        <v>0</v>
      </c>
      <c r="N141" s="304">
        <f t="shared" si="34"/>
        <v>0</v>
      </c>
      <c r="O141" s="308"/>
      <c r="P141" s="320"/>
      <c r="Q141" s="303"/>
      <c r="R141" s="401" t="e">
        <f t="shared" si="19"/>
        <v>#DIV/0!</v>
      </c>
    </row>
    <row r="142" spans="1:18" ht="47.25" hidden="1" x14ac:dyDescent="0.2">
      <c r="A142" s="42"/>
      <c r="B142" s="168" t="s">
        <v>131</v>
      </c>
      <c r="C142" s="169"/>
      <c r="D142" s="170" t="s">
        <v>132</v>
      </c>
      <c r="E142" s="171"/>
      <c r="F142" s="172"/>
      <c r="G142" s="172"/>
      <c r="H142" s="172">
        <f>SUM(G142)</f>
        <v>0</v>
      </c>
      <c r="I142" s="188"/>
      <c r="J142" s="189"/>
      <c r="K142" s="188"/>
      <c r="L142" s="172"/>
      <c r="M142" s="172">
        <f t="shared" si="34"/>
        <v>0</v>
      </c>
      <c r="N142" s="304">
        <f t="shared" si="34"/>
        <v>0</v>
      </c>
      <c r="O142" s="308"/>
      <c r="P142" s="320"/>
      <c r="Q142" s="303"/>
      <c r="R142" s="401" t="e">
        <f t="shared" si="19"/>
        <v>#DIV/0!</v>
      </c>
    </row>
    <row r="143" spans="1:18" ht="45.75" customHeight="1" x14ac:dyDescent="0.2">
      <c r="A143" s="42" t="s">
        <v>156</v>
      </c>
      <c r="B143" s="168" t="s">
        <v>157</v>
      </c>
      <c r="C143" s="169" t="s">
        <v>158</v>
      </c>
      <c r="D143" s="170" t="s">
        <v>26</v>
      </c>
      <c r="E143" s="171"/>
      <c r="F143" s="172">
        <f t="shared" ref="F143:O143" si="35">F144+F151+F162+F194+F200</f>
        <v>233815.10000000003</v>
      </c>
      <c r="G143" s="172">
        <f>G144+G151+G162+G194+G200</f>
        <v>6591.9</v>
      </c>
      <c r="H143" s="172">
        <f t="shared" si="35"/>
        <v>240407</v>
      </c>
      <c r="I143" s="188">
        <f t="shared" si="35"/>
        <v>1662799.2999999998</v>
      </c>
      <c r="J143" s="172">
        <f t="shared" si="35"/>
        <v>0</v>
      </c>
      <c r="K143" s="188">
        <f t="shared" si="35"/>
        <v>1662799.2999999998</v>
      </c>
      <c r="L143" s="172">
        <f t="shared" si="35"/>
        <v>1896614.4</v>
      </c>
      <c r="M143" s="172">
        <f t="shared" si="35"/>
        <v>6591.9</v>
      </c>
      <c r="N143" s="304">
        <f t="shared" si="35"/>
        <v>1903806.2999999998</v>
      </c>
      <c r="O143" s="304">
        <f t="shared" si="35"/>
        <v>310135.2</v>
      </c>
      <c r="P143" s="315"/>
      <c r="Q143" s="48"/>
      <c r="R143" s="401">
        <f t="shared" si="19"/>
        <v>16.290270706636491</v>
      </c>
    </row>
    <row r="144" spans="1:18" ht="34.5" customHeight="1" x14ac:dyDescent="0.2">
      <c r="A144" s="368"/>
      <c r="B144" s="168" t="s">
        <v>159</v>
      </c>
      <c r="C144" s="169" t="s">
        <v>160</v>
      </c>
      <c r="D144" s="208" t="s">
        <v>26</v>
      </c>
      <c r="E144" s="209"/>
      <c r="F144" s="210">
        <f t="shared" ref="F144:N146" si="36">F145</f>
        <v>1798.4</v>
      </c>
      <c r="G144" s="210">
        <f>G145+G148</f>
        <v>0</v>
      </c>
      <c r="H144" s="210">
        <f>H145+H148</f>
        <v>1798.4</v>
      </c>
      <c r="I144" s="211">
        <f t="shared" si="36"/>
        <v>2934.3</v>
      </c>
      <c r="J144" s="212">
        <f>J145</f>
        <v>0</v>
      </c>
      <c r="K144" s="211">
        <f t="shared" si="36"/>
        <v>2934.3</v>
      </c>
      <c r="L144" s="210">
        <f>L145</f>
        <v>4732.7000000000007</v>
      </c>
      <c r="M144" s="210">
        <f>M145</f>
        <v>0</v>
      </c>
      <c r="N144" s="333">
        <f>SUM(N145+N148)</f>
        <v>4732.7000000000007</v>
      </c>
      <c r="O144" s="309">
        <v>4732.7</v>
      </c>
      <c r="P144" s="323"/>
      <c r="Q144" s="303"/>
      <c r="R144" s="401">
        <f t="shared" si="19"/>
        <v>99.999999999999972</v>
      </c>
    </row>
    <row r="145" spans="1:18" ht="63" x14ac:dyDescent="0.2">
      <c r="A145" s="42"/>
      <c r="B145" s="168" t="s">
        <v>161</v>
      </c>
      <c r="C145" s="169" t="s">
        <v>162</v>
      </c>
      <c r="D145" s="170" t="s">
        <v>26</v>
      </c>
      <c r="E145" s="171"/>
      <c r="F145" s="172">
        <f t="shared" si="36"/>
        <v>1798.4</v>
      </c>
      <c r="G145" s="172">
        <f t="shared" si="36"/>
        <v>0</v>
      </c>
      <c r="H145" s="172">
        <f t="shared" si="36"/>
        <v>1798.4</v>
      </c>
      <c r="I145" s="188">
        <f t="shared" si="36"/>
        <v>2934.3</v>
      </c>
      <c r="J145" s="189">
        <f>J146</f>
        <v>0</v>
      </c>
      <c r="K145" s="188">
        <f t="shared" si="36"/>
        <v>2934.3</v>
      </c>
      <c r="L145" s="172">
        <f t="shared" si="36"/>
        <v>4732.7000000000007</v>
      </c>
      <c r="M145" s="172">
        <f t="shared" si="36"/>
        <v>0</v>
      </c>
      <c r="N145" s="304">
        <f t="shared" si="36"/>
        <v>4732.7000000000007</v>
      </c>
      <c r="O145" s="309">
        <v>4732.7</v>
      </c>
      <c r="P145" s="319"/>
      <c r="Q145" s="303"/>
      <c r="R145" s="401">
        <f t="shared" si="19"/>
        <v>99.999999999999972</v>
      </c>
    </row>
    <row r="146" spans="1:18" ht="32.25" customHeight="1" x14ac:dyDescent="0.2">
      <c r="A146" s="42"/>
      <c r="B146" s="168" t="s">
        <v>163</v>
      </c>
      <c r="C146" s="169" t="s">
        <v>164</v>
      </c>
      <c r="D146" s="170" t="s">
        <v>26</v>
      </c>
      <c r="E146" s="171"/>
      <c r="F146" s="172">
        <f t="shared" si="36"/>
        <v>1798.4</v>
      </c>
      <c r="G146" s="172">
        <f t="shared" si="36"/>
        <v>0</v>
      </c>
      <c r="H146" s="172">
        <f t="shared" si="36"/>
        <v>1798.4</v>
      </c>
      <c r="I146" s="188">
        <f t="shared" si="36"/>
        <v>2934.3</v>
      </c>
      <c r="J146" s="189">
        <f>J147</f>
        <v>0</v>
      </c>
      <c r="K146" s="188">
        <f t="shared" si="36"/>
        <v>2934.3</v>
      </c>
      <c r="L146" s="172">
        <f t="shared" si="36"/>
        <v>4732.7000000000007</v>
      </c>
      <c r="M146" s="172">
        <f t="shared" si="36"/>
        <v>0</v>
      </c>
      <c r="N146" s="304">
        <f t="shared" si="36"/>
        <v>4732.7000000000007</v>
      </c>
      <c r="O146" s="309">
        <v>4732.7</v>
      </c>
      <c r="P146" s="319"/>
      <c r="Q146" s="303"/>
      <c r="R146" s="401">
        <f t="shared" si="19"/>
        <v>99.999999999999972</v>
      </c>
    </row>
    <row r="147" spans="1:18" ht="31.5" x14ac:dyDescent="0.2">
      <c r="A147" s="42"/>
      <c r="B147" s="168" t="s">
        <v>54</v>
      </c>
      <c r="C147" s="169" t="s">
        <v>164</v>
      </c>
      <c r="D147" s="170" t="s">
        <v>55</v>
      </c>
      <c r="E147" s="171"/>
      <c r="F147" s="172">
        <v>1798.4</v>
      </c>
      <c r="G147" s="172"/>
      <c r="H147" s="172">
        <f>SUM(F147+G147)</f>
        <v>1798.4</v>
      </c>
      <c r="I147" s="188">
        <v>2934.3</v>
      </c>
      <c r="J147" s="189"/>
      <c r="K147" s="188">
        <f>I147+J147</f>
        <v>2934.3</v>
      </c>
      <c r="L147" s="172">
        <f>SUM(F147+I147)</f>
        <v>4732.7000000000007</v>
      </c>
      <c r="M147" s="172">
        <f>G147+J147</f>
        <v>0</v>
      </c>
      <c r="N147" s="304">
        <f>SUM(H147+K147)</f>
        <v>4732.7000000000007</v>
      </c>
      <c r="O147" s="309">
        <v>4732.7</v>
      </c>
      <c r="P147" s="319"/>
      <c r="Q147" s="303"/>
      <c r="R147" s="401">
        <f t="shared" si="19"/>
        <v>99.999999999999972</v>
      </c>
    </row>
    <row r="148" spans="1:18" ht="0.75" customHeight="1" x14ac:dyDescent="0.2">
      <c r="A148" s="42"/>
      <c r="B148" s="168" t="s">
        <v>490</v>
      </c>
      <c r="C148" s="169" t="s">
        <v>489</v>
      </c>
      <c r="D148" s="170"/>
      <c r="E148" s="171"/>
      <c r="F148" s="172"/>
      <c r="G148" s="172">
        <f>SUM(G150)</f>
        <v>0</v>
      </c>
      <c r="H148" s="172">
        <f>SUM(H150)</f>
        <v>0</v>
      </c>
      <c r="I148" s="188"/>
      <c r="J148" s="189"/>
      <c r="K148" s="188"/>
      <c r="L148" s="172"/>
      <c r="M148" s="172">
        <f t="shared" ref="M148:N150" si="37">SUM(G148)</f>
        <v>0</v>
      </c>
      <c r="N148" s="304">
        <f t="shared" si="37"/>
        <v>0</v>
      </c>
      <c r="O148" s="308"/>
      <c r="P148" s="320"/>
      <c r="Q148" s="303"/>
      <c r="R148" s="401" t="e">
        <f t="shared" si="19"/>
        <v>#DIV/0!</v>
      </c>
    </row>
    <row r="149" spans="1:18" ht="78.75" hidden="1" x14ac:dyDescent="0.2">
      <c r="A149" s="42"/>
      <c r="B149" s="168" t="s">
        <v>492</v>
      </c>
      <c r="C149" s="169" t="s">
        <v>491</v>
      </c>
      <c r="D149" s="170"/>
      <c r="E149" s="171"/>
      <c r="F149" s="172"/>
      <c r="G149" s="172">
        <f>SUM(G150)</f>
        <v>0</v>
      </c>
      <c r="H149" s="172">
        <f>SUM(H150)</f>
        <v>0</v>
      </c>
      <c r="I149" s="188"/>
      <c r="J149" s="189"/>
      <c r="K149" s="188"/>
      <c r="L149" s="172"/>
      <c r="M149" s="172">
        <f t="shared" si="37"/>
        <v>0</v>
      </c>
      <c r="N149" s="304">
        <f t="shared" si="37"/>
        <v>0</v>
      </c>
      <c r="O149" s="308"/>
      <c r="P149" s="320"/>
      <c r="Q149" s="303"/>
      <c r="R149" s="401" t="e">
        <f t="shared" si="19"/>
        <v>#DIV/0!</v>
      </c>
    </row>
    <row r="150" spans="1:18" ht="47.25" hidden="1" x14ac:dyDescent="0.2">
      <c r="A150" s="42"/>
      <c r="B150" s="168" t="s">
        <v>131</v>
      </c>
      <c r="C150" s="169" t="s">
        <v>491</v>
      </c>
      <c r="D150" s="170" t="s">
        <v>132</v>
      </c>
      <c r="E150" s="171"/>
      <c r="F150" s="172"/>
      <c r="G150" s="172"/>
      <c r="H150" s="172">
        <f>SUM(G150)</f>
        <v>0</v>
      </c>
      <c r="I150" s="188"/>
      <c r="J150" s="189"/>
      <c r="K150" s="188"/>
      <c r="L150" s="172"/>
      <c r="M150" s="172">
        <f t="shared" si="37"/>
        <v>0</v>
      </c>
      <c r="N150" s="304">
        <f t="shared" si="37"/>
        <v>0</v>
      </c>
      <c r="O150" s="308"/>
      <c r="P150" s="320"/>
      <c r="Q150" s="303"/>
      <c r="R150" s="401" t="e">
        <f t="shared" si="19"/>
        <v>#DIV/0!</v>
      </c>
    </row>
    <row r="151" spans="1:18" ht="47.25" x14ac:dyDescent="0.2">
      <c r="A151" s="368"/>
      <c r="B151" s="168" t="s">
        <v>165</v>
      </c>
      <c r="C151" s="169" t="s">
        <v>166</v>
      </c>
      <c r="D151" s="208" t="s">
        <v>26</v>
      </c>
      <c r="E151" s="209"/>
      <c r="F151" s="210">
        <f t="shared" ref="F151:O151" si="38">F152</f>
        <v>9123.2000000000007</v>
      </c>
      <c r="G151" s="210">
        <f t="shared" si="38"/>
        <v>0</v>
      </c>
      <c r="H151" s="210">
        <f t="shared" si="38"/>
        <v>9123.2000000000007</v>
      </c>
      <c r="I151" s="211">
        <f t="shared" si="38"/>
        <v>1576707.7999999998</v>
      </c>
      <c r="J151" s="210">
        <f t="shared" si="38"/>
        <v>0</v>
      </c>
      <c r="K151" s="211">
        <f t="shared" si="38"/>
        <v>1576707.7999999998</v>
      </c>
      <c r="L151" s="210">
        <f t="shared" si="38"/>
        <v>1585831</v>
      </c>
      <c r="M151" s="210">
        <f t="shared" si="38"/>
        <v>0</v>
      </c>
      <c r="N151" s="304">
        <f t="shared" si="38"/>
        <v>1585831</v>
      </c>
      <c r="O151" s="304">
        <f t="shared" si="38"/>
        <v>4981.6000000000004</v>
      </c>
      <c r="P151" s="373"/>
      <c r="Q151" s="371"/>
      <c r="R151" s="401">
        <f t="shared" si="19"/>
        <v>0.3141318337199866</v>
      </c>
    </row>
    <row r="152" spans="1:18" ht="66.75" customHeight="1" x14ac:dyDescent="0.2">
      <c r="A152" s="42"/>
      <c r="B152" s="168" t="s">
        <v>167</v>
      </c>
      <c r="C152" s="169" t="s">
        <v>168</v>
      </c>
      <c r="D152" s="170" t="s">
        <v>26</v>
      </c>
      <c r="E152" s="171"/>
      <c r="F152" s="172">
        <f>F153+F156+F158+F160</f>
        <v>9123.2000000000007</v>
      </c>
      <c r="G152" s="172">
        <f>SUM(G153+G160)+G156</f>
        <v>0</v>
      </c>
      <c r="H152" s="172">
        <f>H153+H156+H158+H160</f>
        <v>9123.2000000000007</v>
      </c>
      <c r="I152" s="188">
        <f t="shared" ref="I152:O152" si="39">I153+I156+I158+I160</f>
        <v>1576707.7999999998</v>
      </c>
      <c r="J152" s="172">
        <f>SUM(J156+J160)</f>
        <v>0</v>
      </c>
      <c r="K152" s="188">
        <f t="shared" si="39"/>
        <v>1576707.7999999998</v>
      </c>
      <c r="L152" s="172">
        <f t="shared" si="39"/>
        <v>1585831</v>
      </c>
      <c r="M152" s="172">
        <f>SUM(G152+J152)</f>
        <v>0</v>
      </c>
      <c r="N152" s="304">
        <f t="shared" si="39"/>
        <v>1585831</v>
      </c>
      <c r="O152" s="304">
        <f t="shared" si="39"/>
        <v>4981.6000000000004</v>
      </c>
      <c r="P152" s="315"/>
      <c r="Q152" s="48"/>
      <c r="R152" s="401">
        <f t="shared" si="19"/>
        <v>0.3141318337199866</v>
      </c>
    </row>
    <row r="153" spans="1:18" ht="31.5" x14ac:dyDescent="0.2">
      <c r="A153" s="42"/>
      <c r="B153" s="168" t="s">
        <v>169</v>
      </c>
      <c r="C153" s="169" t="s">
        <v>170</v>
      </c>
      <c r="D153" s="170" t="s">
        <v>26</v>
      </c>
      <c r="E153" s="171"/>
      <c r="F153" s="172">
        <f>F154+F155</f>
        <v>183</v>
      </c>
      <c r="G153" s="172">
        <f>G154+G155</f>
        <v>0</v>
      </c>
      <c r="H153" s="172">
        <f>H154+H155</f>
        <v>183</v>
      </c>
      <c r="I153" s="188">
        <f>I154</f>
        <v>1529.5</v>
      </c>
      <c r="J153" s="172">
        <f>J154</f>
        <v>0</v>
      </c>
      <c r="K153" s="188">
        <f>K154</f>
        <v>1529.5</v>
      </c>
      <c r="L153" s="172">
        <f>L154+L155</f>
        <v>1712.5</v>
      </c>
      <c r="M153" s="172">
        <f>M154+M155</f>
        <v>0</v>
      </c>
      <c r="N153" s="304">
        <f>N154+N155</f>
        <v>1712.5</v>
      </c>
      <c r="O153" s="304">
        <f>O154+O155</f>
        <v>1681.6</v>
      </c>
      <c r="P153" s="315"/>
      <c r="Q153" s="303"/>
      <c r="R153" s="401">
        <f t="shared" si="19"/>
        <v>98.195620437956194</v>
      </c>
    </row>
    <row r="154" spans="1:18" ht="51.75" customHeight="1" x14ac:dyDescent="0.2">
      <c r="A154" s="42"/>
      <c r="B154" s="168" t="s">
        <v>35</v>
      </c>
      <c r="C154" s="169" t="s">
        <v>170</v>
      </c>
      <c r="D154" s="170" t="s">
        <v>36</v>
      </c>
      <c r="E154" s="171"/>
      <c r="F154" s="172">
        <v>152.19999999999999</v>
      </c>
      <c r="G154" s="172"/>
      <c r="H154" s="172">
        <f>SUM(F154+G154)</f>
        <v>152.19999999999999</v>
      </c>
      <c r="I154" s="188">
        <v>1529.5</v>
      </c>
      <c r="J154" s="189"/>
      <c r="K154" s="189">
        <f>SUM(I154)</f>
        <v>1529.5</v>
      </c>
      <c r="L154" s="172">
        <f>F154+I154</f>
        <v>1681.7</v>
      </c>
      <c r="M154" s="172">
        <f>G154+J154</f>
        <v>0</v>
      </c>
      <c r="N154" s="304">
        <f>H154+K154</f>
        <v>1681.7</v>
      </c>
      <c r="O154" s="309">
        <v>1681.6</v>
      </c>
      <c r="P154" s="319"/>
      <c r="Q154" s="303"/>
      <c r="R154" s="401">
        <f t="shared" ref="R154:R217" si="40">SUM(O154/N154*100)</f>
        <v>99.994053636201457</v>
      </c>
    </row>
    <row r="155" spans="1:18" ht="47.25" x14ac:dyDescent="0.2">
      <c r="A155" s="42"/>
      <c r="B155" s="168" t="s">
        <v>131</v>
      </c>
      <c r="C155" s="169" t="s">
        <v>170</v>
      </c>
      <c r="D155" s="170" t="s">
        <v>132</v>
      </c>
      <c r="E155" s="171"/>
      <c r="F155" s="172">
        <v>30.8</v>
      </c>
      <c r="G155" s="172"/>
      <c r="H155" s="172">
        <f>SUM(F155)+G155</f>
        <v>30.8</v>
      </c>
      <c r="I155" s="188"/>
      <c r="J155" s="189"/>
      <c r="K155" s="189"/>
      <c r="L155" s="172">
        <f>SUM(F155)</f>
        <v>30.8</v>
      </c>
      <c r="M155" s="172">
        <f>SUM(G155)</f>
        <v>0</v>
      </c>
      <c r="N155" s="304">
        <f>SUM(H155)</f>
        <v>30.8</v>
      </c>
      <c r="O155" s="394">
        <v>0</v>
      </c>
      <c r="P155" s="320"/>
      <c r="Q155" s="303"/>
      <c r="R155" s="401">
        <f t="shared" si="40"/>
        <v>0</v>
      </c>
    </row>
    <row r="156" spans="1:18" ht="32.25" customHeight="1" x14ac:dyDescent="0.2">
      <c r="A156" s="42"/>
      <c r="B156" s="168" t="s">
        <v>171</v>
      </c>
      <c r="C156" s="169" t="s">
        <v>172</v>
      </c>
      <c r="D156" s="170" t="s">
        <v>26</v>
      </c>
      <c r="E156" s="171"/>
      <c r="F156" s="172">
        <f t="shared" ref="F156:N156" si="41">F157</f>
        <v>7807.5</v>
      </c>
      <c r="G156" s="172">
        <f t="shared" si="41"/>
        <v>0</v>
      </c>
      <c r="H156" s="172">
        <f t="shared" si="41"/>
        <v>7807.5</v>
      </c>
      <c r="I156" s="188">
        <f t="shared" si="41"/>
        <v>1553657.4</v>
      </c>
      <c r="J156" s="189">
        <f t="shared" si="41"/>
        <v>0</v>
      </c>
      <c r="K156" s="188">
        <f t="shared" si="41"/>
        <v>1553657.4</v>
      </c>
      <c r="L156" s="172">
        <f t="shared" si="41"/>
        <v>1561464.9</v>
      </c>
      <c r="M156" s="172">
        <f t="shared" si="41"/>
        <v>0</v>
      </c>
      <c r="N156" s="304">
        <f t="shared" si="41"/>
        <v>1561464.9</v>
      </c>
      <c r="O156" s="394">
        <v>0</v>
      </c>
      <c r="P156" s="320"/>
      <c r="Q156" s="303"/>
      <c r="R156" s="401">
        <f t="shared" si="40"/>
        <v>0</v>
      </c>
    </row>
    <row r="157" spans="1:18" ht="48" customHeight="1" x14ac:dyDescent="0.2">
      <c r="A157" s="42"/>
      <c r="B157" s="168" t="s">
        <v>131</v>
      </c>
      <c r="C157" s="169" t="s">
        <v>172</v>
      </c>
      <c r="D157" s="170" t="s">
        <v>132</v>
      </c>
      <c r="E157" s="171"/>
      <c r="F157" s="172">
        <v>7807.5</v>
      </c>
      <c r="G157" s="172"/>
      <c r="H157" s="172">
        <v>7807.5</v>
      </c>
      <c r="I157" s="188">
        <v>1553657.4</v>
      </c>
      <c r="J157" s="189"/>
      <c r="K157" s="188">
        <f>1553657.4+J157</f>
        <v>1553657.4</v>
      </c>
      <c r="L157" s="172">
        <f>SUM(F157+I157)</f>
        <v>1561464.9</v>
      </c>
      <c r="M157" s="172">
        <f>SUM(G157)+J157</f>
        <v>0</v>
      </c>
      <c r="N157" s="304">
        <f>SUM(H157+K157)</f>
        <v>1561464.9</v>
      </c>
      <c r="O157" s="394">
        <v>0</v>
      </c>
      <c r="P157" s="320"/>
      <c r="Q157" s="303"/>
      <c r="R157" s="401">
        <f t="shared" si="40"/>
        <v>0</v>
      </c>
    </row>
    <row r="158" spans="1:18" ht="18.75" x14ac:dyDescent="0.2">
      <c r="A158" s="42"/>
      <c r="B158" s="168" t="s">
        <v>173</v>
      </c>
      <c r="C158" s="169" t="s">
        <v>174</v>
      </c>
      <c r="D158" s="170" t="s">
        <v>26</v>
      </c>
      <c r="E158" s="171"/>
      <c r="F158" s="172">
        <f>F159</f>
        <v>386.1</v>
      </c>
      <c r="G158" s="172">
        <f>G159</f>
        <v>0</v>
      </c>
      <c r="H158" s="172">
        <f>H159</f>
        <v>386.1</v>
      </c>
      <c r="I158" s="188">
        <f>I159</f>
        <v>7335.5</v>
      </c>
      <c r="J158" s="189"/>
      <c r="K158" s="188">
        <f>K159</f>
        <v>7335.5</v>
      </c>
      <c r="L158" s="172">
        <f>L159</f>
        <v>7721.6</v>
      </c>
      <c r="M158" s="172">
        <f>M159</f>
        <v>0</v>
      </c>
      <c r="N158" s="304">
        <f>N159</f>
        <v>7721.6</v>
      </c>
      <c r="O158" s="394">
        <v>0</v>
      </c>
      <c r="P158" s="320"/>
      <c r="Q158" s="303"/>
      <c r="R158" s="401">
        <f t="shared" si="40"/>
        <v>0</v>
      </c>
    </row>
    <row r="159" spans="1:18" ht="47.25" x14ac:dyDescent="0.2">
      <c r="A159" s="42"/>
      <c r="B159" s="168" t="s">
        <v>131</v>
      </c>
      <c r="C159" s="169" t="s">
        <v>174</v>
      </c>
      <c r="D159" s="170" t="s">
        <v>132</v>
      </c>
      <c r="E159" s="171"/>
      <c r="F159" s="172">
        <v>386.1</v>
      </c>
      <c r="G159" s="172"/>
      <c r="H159" s="172">
        <f>SUM(F159)</f>
        <v>386.1</v>
      </c>
      <c r="I159" s="188">
        <f>14200-6864.5</f>
        <v>7335.5</v>
      </c>
      <c r="J159" s="189"/>
      <c r="K159" s="188">
        <f>14200-6864.5</f>
        <v>7335.5</v>
      </c>
      <c r="L159" s="188">
        <f>SUM(F159+I159)</f>
        <v>7721.6</v>
      </c>
      <c r="M159" s="172">
        <f>SUM(G159)</f>
        <v>0</v>
      </c>
      <c r="N159" s="305">
        <f>SUM(H159+K159)</f>
        <v>7721.6</v>
      </c>
      <c r="O159" s="394">
        <v>0</v>
      </c>
      <c r="P159" s="320"/>
      <c r="Q159" s="303"/>
      <c r="R159" s="401">
        <f t="shared" si="40"/>
        <v>0</v>
      </c>
    </row>
    <row r="160" spans="1:18" ht="31.5" x14ac:dyDescent="0.2">
      <c r="A160" s="42"/>
      <c r="B160" s="168" t="s">
        <v>175</v>
      </c>
      <c r="C160" s="169" t="s">
        <v>176</v>
      </c>
      <c r="D160" s="170" t="s">
        <v>26</v>
      </c>
      <c r="E160" s="171"/>
      <c r="F160" s="172">
        <f>F161</f>
        <v>746.6</v>
      </c>
      <c r="G160" s="172">
        <f>G161</f>
        <v>0</v>
      </c>
      <c r="H160" s="172">
        <f>H161</f>
        <v>746.6</v>
      </c>
      <c r="I160" s="188">
        <f>I161</f>
        <v>14185.4</v>
      </c>
      <c r="J160" s="189"/>
      <c r="K160" s="188">
        <f>K161</f>
        <v>14185.4</v>
      </c>
      <c r="L160" s="172">
        <f>L161</f>
        <v>14932</v>
      </c>
      <c r="M160" s="172">
        <f>M161</f>
        <v>0</v>
      </c>
      <c r="N160" s="304">
        <f>N161</f>
        <v>14932</v>
      </c>
      <c r="O160" s="304">
        <f>O161</f>
        <v>3300</v>
      </c>
      <c r="P160" s="315"/>
      <c r="Q160" s="303"/>
      <c r="R160" s="401">
        <f t="shared" si="40"/>
        <v>22.100187516742569</v>
      </c>
    </row>
    <row r="161" spans="1:18" ht="47.25" x14ac:dyDescent="0.2">
      <c r="A161" s="42"/>
      <c r="B161" s="168" t="s">
        <v>131</v>
      </c>
      <c r="C161" s="169" t="s">
        <v>176</v>
      </c>
      <c r="D161" s="170" t="s">
        <v>132</v>
      </c>
      <c r="E161" s="171"/>
      <c r="F161" s="172">
        <v>746.6</v>
      </c>
      <c r="G161" s="172"/>
      <c r="H161" s="172">
        <f>663.2+83.4</f>
        <v>746.6</v>
      </c>
      <c r="I161" s="188">
        <v>14185.4</v>
      </c>
      <c r="J161" s="189"/>
      <c r="K161" s="188">
        <f>SUM(I161)</f>
        <v>14185.4</v>
      </c>
      <c r="L161" s="172">
        <f>SUM(F161+I161)</f>
        <v>14932</v>
      </c>
      <c r="M161" s="172">
        <f>SUM(J161)+G161</f>
        <v>0</v>
      </c>
      <c r="N161" s="304">
        <f>SUM(H161+K161)</f>
        <v>14932</v>
      </c>
      <c r="O161" s="309">
        <v>3300</v>
      </c>
      <c r="P161" s="319"/>
      <c r="Q161" s="303"/>
      <c r="R161" s="401">
        <f t="shared" si="40"/>
        <v>22.100187516742569</v>
      </c>
    </row>
    <row r="162" spans="1:18" ht="18.75" x14ac:dyDescent="0.2">
      <c r="A162" s="368"/>
      <c r="B162" s="168" t="s">
        <v>177</v>
      </c>
      <c r="C162" s="169" t="s">
        <v>178</v>
      </c>
      <c r="D162" s="208" t="s">
        <v>26</v>
      </c>
      <c r="E162" s="209"/>
      <c r="F162" s="210">
        <f t="shared" ref="F162:O162" si="42">F163</f>
        <v>70785.400000000009</v>
      </c>
      <c r="G162" s="210">
        <f t="shared" si="42"/>
        <v>6364.0999999999995</v>
      </c>
      <c r="H162" s="210">
        <f t="shared" si="42"/>
        <v>77149.5</v>
      </c>
      <c r="I162" s="211">
        <f t="shared" si="42"/>
        <v>11157.199999999999</v>
      </c>
      <c r="J162" s="211">
        <f t="shared" si="42"/>
        <v>0</v>
      </c>
      <c r="K162" s="211">
        <f t="shared" si="42"/>
        <v>11157.199999999999</v>
      </c>
      <c r="L162" s="210">
        <f t="shared" si="42"/>
        <v>81942.599999999991</v>
      </c>
      <c r="M162" s="210">
        <f t="shared" si="42"/>
        <v>6364.0999999999995</v>
      </c>
      <c r="N162" s="304">
        <f t="shared" si="42"/>
        <v>88906.7</v>
      </c>
      <c r="O162" s="304">
        <f t="shared" si="42"/>
        <v>81486.39999999998</v>
      </c>
      <c r="P162" s="373"/>
      <c r="Q162" s="371"/>
      <c r="R162" s="401">
        <f t="shared" si="40"/>
        <v>91.653834862839332</v>
      </c>
    </row>
    <row r="163" spans="1:18" ht="34.9" customHeight="1" x14ac:dyDescent="0.2">
      <c r="A163" s="42"/>
      <c r="B163" s="168" t="s">
        <v>179</v>
      </c>
      <c r="C163" s="169" t="s">
        <v>180</v>
      </c>
      <c r="D163" s="170" t="s">
        <v>26</v>
      </c>
      <c r="E163" s="171"/>
      <c r="F163" s="172">
        <f>F164+F166+F168+F170+F176+F178+F172+F188+F184</f>
        <v>70785.400000000009</v>
      </c>
      <c r="G163" s="172">
        <f>G164+G166+G168+G170+G172+G176+G178+G184+G186+G188</f>
        <v>6364.0999999999995</v>
      </c>
      <c r="H163" s="172">
        <f>H164+H166+H168+H170+H176+H178+H172+H188+H184</f>
        <v>77149.5</v>
      </c>
      <c r="I163" s="188">
        <f>SUM(I166+I174+I186+I188)+I184</f>
        <v>11157.199999999999</v>
      </c>
      <c r="J163" s="189">
        <f>SUM(J188)+J184+J186+J174</f>
        <v>0</v>
      </c>
      <c r="K163" s="188">
        <f>SUM(K166+K174+K186+K188)+K184</f>
        <v>11157.199999999999</v>
      </c>
      <c r="L163" s="172">
        <f>SUM(L164+L166+L168+L170+L172+L174+L176+L178+L184+L186+L188)</f>
        <v>81942.599999999991</v>
      </c>
      <c r="M163" s="172">
        <f>M164+M166+M168+M170+M172+M176+M178+M184+M186+M188</f>
        <v>6364.0999999999995</v>
      </c>
      <c r="N163" s="304">
        <f>SUM(N164+N166+N168+N170+N172+N174+N176+N178+N184+N186+N188)</f>
        <v>88906.7</v>
      </c>
      <c r="O163" s="304">
        <f>SUM(O164+O166+O168+O170+O172+O174+O176+O178+O184+O186+O188)</f>
        <v>81486.39999999998</v>
      </c>
      <c r="P163" s="315"/>
      <c r="Q163" s="48"/>
      <c r="R163" s="401">
        <f t="shared" si="40"/>
        <v>91.653834862839332</v>
      </c>
    </row>
    <row r="164" spans="1:18" ht="18.75" x14ac:dyDescent="0.2">
      <c r="A164" s="42"/>
      <c r="B164" s="168" t="s">
        <v>181</v>
      </c>
      <c r="C164" s="169" t="s">
        <v>182</v>
      </c>
      <c r="D164" s="170" t="s">
        <v>26</v>
      </c>
      <c r="E164" s="171"/>
      <c r="F164" s="172">
        <f>F165</f>
        <v>26890.7</v>
      </c>
      <c r="G164" s="172">
        <f>G165</f>
        <v>6324.0999999999995</v>
      </c>
      <c r="H164" s="172">
        <f>H165</f>
        <v>33214.800000000003</v>
      </c>
      <c r="I164" s="188">
        <f>I165</f>
        <v>0</v>
      </c>
      <c r="J164" s="189"/>
      <c r="K164" s="188">
        <f>K165</f>
        <v>0</v>
      </c>
      <c r="L164" s="172">
        <f>L165</f>
        <v>26890.7</v>
      </c>
      <c r="M164" s="172">
        <f>M165</f>
        <v>6324.0999999999995</v>
      </c>
      <c r="N164" s="304">
        <f>N165</f>
        <v>33814.800000000003</v>
      </c>
      <c r="O164" s="309">
        <v>33096.1</v>
      </c>
      <c r="P164" s="319"/>
      <c r="Q164" s="303"/>
      <c r="R164" s="401">
        <f t="shared" si="40"/>
        <v>97.874599287885772</v>
      </c>
    </row>
    <row r="165" spans="1:18" ht="51" customHeight="1" x14ac:dyDescent="0.2">
      <c r="A165" s="42"/>
      <c r="B165" s="168" t="s">
        <v>35</v>
      </c>
      <c r="C165" s="169" t="s">
        <v>182</v>
      </c>
      <c r="D165" s="170" t="s">
        <v>36</v>
      </c>
      <c r="E165" s="171"/>
      <c r="F165" s="172">
        <v>26890.7</v>
      </c>
      <c r="G165" s="172">
        <f>-240+6408.4+155.7</f>
        <v>6324.0999999999995</v>
      </c>
      <c r="H165" s="172">
        <f>SUM(F165)+G165</f>
        <v>33214.800000000003</v>
      </c>
      <c r="I165" s="188">
        <v>0</v>
      </c>
      <c r="J165" s="189"/>
      <c r="K165" s="188">
        <v>0</v>
      </c>
      <c r="L165" s="172">
        <f>SUM(F165)</f>
        <v>26890.7</v>
      </c>
      <c r="M165" s="172">
        <f>SUM(G165)</f>
        <v>6324.0999999999995</v>
      </c>
      <c r="N165" s="304">
        <v>33814.800000000003</v>
      </c>
      <c r="O165" s="309">
        <v>33096.1</v>
      </c>
      <c r="P165" s="319"/>
      <c r="Q165" s="303"/>
      <c r="R165" s="401">
        <f t="shared" si="40"/>
        <v>97.874599287885772</v>
      </c>
    </row>
    <row r="166" spans="1:18" ht="18.75" x14ac:dyDescent="0.2">
      <c r="A166" s="42"/>
      <c r="B166" s="168" t="s">
        <v>183</v>
      </c>
      <c r="C166" s="169" t="s">
        <v>184</v>
      </c>
      <c r="D166" s="170" t="s">
        <v>26</v>
      </c>
      <c r="E166" s="171"/>
      <c r="F166" s="172">
        <f t="shared" ref="F166:N166" si="43">F167</f>
        <v>18028.900000000001</v>
      </c>
      <c r="G166" s="172">
        <f t="shared" si="43"/>
        <v>0</v>
      </c>
      <c r="H166" s="172">
        <f t="shared" si="43"/>
        <v>18028.900000000001</v>
      </c>
      <c r="I166" s="188">
        <f t="shared" si="43"/>
        <v>75</v>
      </c>
      <c r="J166" s="172">
        <f t="shared" si="43"/>
        <v>0</v>
      </c>
      <c r="K166" s="188">
        <f t="shared" si="43"/>
        <v>75</v>
      </c>
      <c r="L166" s="172">
        <f t="shared" si="43"/>
        <v>18103.900000000001</v>
      </c>
      <c r="M166" s="172">
        <f t="shared" si="43"/>
        <v>0</v>
      </c>
      <c r="N166" s="304">
        <f t="shared" si="43"/>
        <v>18103.900000000001</v>
      </c>
      <c r="O166" s="309">
        <v>13125.1</v>
      </c>
      <c r="P166" s="319"/>
      <c r="Q166" s="303"/>
      <c r="R166" s="401">
        <f t="shared" si="40"/>
        <v>72.498743364689375</v>
      </c>
    </row>
    <row r="167" spans="1:18" ht="50.25" customHeight="1" x14ac:dyDescent="0.2">
      <c r="A167" s="42"/>
      <c r="B167" s="168" t="s">
        <v>35</v>
      </c>
      <c r="C167" s="169" t="s">
        <v>184</v>
      </c>
      <c r="D167" s="170" t="s">
        <v>36</v>
      </c>
      <c r="E167" s="171"/>
      <c r="F167" s="172">
        <v>18028.900000000001</v>
      </c>
      <c r="G167" s="172"/>
      <c r="H167" s="172">
        <f>SUM(F167)+G167</f>
        <v>18028.900000000001</v>
      </c>
      <c r="I167" s="188">
        <v>75</v>
      </c>
      <c r="J167" s="189"/>
      <c r="K167" s="188">
        <f>SUM(I167)</f>
        <v>75</v>
      </c>
      <c r="L167" s="172">
        <f>SUM(F167+I167)</f>
        <v>18103.900000000001</v>
      </c>
      <c r="M167" s="172">
        <f>SUM(J167)+G167</f>
        <v>0</v>
      </c>
      <c r="N167" s="304">
        <f>SUM(H167+K167)</f>
        <v>18103.900000000001</v>
      </c>
      <c r="O167" s="309">
        <v>13125.1</v>
      </c>
      <c r="P167" s="319"/>
      <c r="Q167" s="303"/>
      <c r="R167" s="401">
        <f t="shared" si="40"/>
        <v>72.498743364689375</v>
      </c>
    </row>
    <row r="168" spans="1:18" ht="31.5" x14ac:dyDescent="0.2">
      <c r="A168" s="42"/>
      <c r="B168" s="168" t="s">
        <v>185</v>
      </c>
      <c r="C168" s="169" t="s">
        <v>186</v>
      </c>
      <c r="D168" s="170" t="s">
        <v>26</v>
      </c>
      <c r="E168" s="171"/>
      <c r="F168" s="172">
        <f>F169</f>
        <v>3522.9</v>
      </c>
      <c r="G168" s="172">
        <f>G169</f>
        <v>0</v>
      </c>
      <c r="H168" s="172">
        <f>H169</f>
        <v>3522.9</v>
      </c>
      <c r="I168" s="188">
        <f>I169</f>
        <v>0</v>
      </c>
      <c r="J168" s="189"/>
      <c r="K168" s="188">
        <f>K169</f>
        <v>0</v>
      </c>
      <c r="L168" s="172">
        <f>L169</f>
        <v>3522.9</v>
      </c>
      <c r="M168" s="172">
        <f>M169</f>
        <v>0</v>
      </c>
      <c r="N168" s="395">
        <f>N169</f>
        <v>3322.9</v>
      </c>
      <c r="O168" s="309">
        <v>3148.2</v>
      </c>
      <c r="P168" s="319"/>
      <c r="Q168" s="303"/>
      <c r="R168" s="401">
        <f t="shared" si="40"/>
        <v>94.742544163230903</v>
      </c>
    </row>
    <row r="169" spans="1:18" ht="49.5" customHeight="1" x14ac:dyDescent="0.2">
      <c r="A169" s="42"/>
      <c r="B169" s="168" t="s">
        <v>35</v>
      </c>
      <c r="C169" s="169" t="s">
        <v>186</v>
      </c>
      <c r="D169" s="170" t="s">
        <v>36</v>
      </c>
      <c r="E169" s="171"/>
      <c r="F169" s="172">
        <v>3522.9</v>
      </c>
      <c r="G169" s="172"/>
      <c r="H169" s="172">
        <f>SUM(F169)+G169</f>
        <v>3522.9</v>
      </c>
      <c r="I169" s="188">
        <v>0</v>
      </c>
      <c r="J169" s="189"/>
      <c r="K169" s="188">
        <v>0</v>
      </c>
      <c r="L169" s="172">
        <f>SUM(F169)</f>
        <v>3522.9</v>
      </c>
      <c r="M169" s="172">
        <f>SUM(G169)</f>
        <v>0</v>
      </c>
      <c r="N169" s="395">
        <v>3322.9</v>
      </c>
      <c r="O169" s="309">
        <v>3148.2</v>
      </c>
      <c r="P169" s="309"/>
      <c r="Q169" s="332"/>
      <c r="R169" s="401">
        <f t="shared" si="40"/>
        <v>94.742544163230903</v>
      </c>
    </row>
    <row r="170" spans="1:18" ht="31.5" x14ac:dyDescent="0.2">
      <c r="A170" s="42"/>
      <c r="B170" s="168" t="s">
        <v>187</v>
      </c>
      <c r="C170" s="169" t="s">
        <v>188</v>
      </c>
      <c r="D170" s="170" t="s">
        <v>26</v>
      </c>
      <c r="E170" s="171"/>
      <c r="F170" s="172">
        <f>F171</f>
        <v>3204</v>
      </c>
      <c r="G170" s="172">
        <f>G171</f>
        <v>0</v>
      </c>
      <c r="H170" s="172">
        <f>H171</f>
        <v>3204</v>
      </c>
      <c r="I170" s="188">
        <f>I171</f>
        <v>0</v>
      </c>
      <c r="J170" s="189"/>
      <c r="K170" s="188">
        <f>K171</f>
        <v>0</v>
      </c>
      <c r="L170" s="172">
        <f>L171</f>
        <v>3204</v>
      </c>
      <c r="M170" s="172">
        <f>M171</f>
        <v>0</v>
      </c>
      <c r="N170" s="395">
        <f>N171</f>
        <v>3204</v>
      </c>
      <c r="O170" s="309">
        <v>3203.5</v>
      </c>
      <c r="P170" s="319"/>
      <c r="Q170" s="303"/>
      <c r="R170" s="401">
        <f t="shared" si="40"/>
        <v>99.984394506866408</v>
      </c>
    </row>
    <row r="171" spans="1:18" ht="63" x14ac:dyDescent="0.2">
      <c r="A171" s="42"/>
      <c r="B171" s="168" t="s">
        <v>35</v>
      </c>
      <c r="C171" s="169" t="s">
        <v>188</v>
      </c>
      <c r="D171" s="170" t="s">
        <v>36</v>
      </c>
      <c r="E171" s="171"/>
      <c r="F171" s="172">
        <v>3204</v>
      </c>
      <c r="G171" s="172"/>
      <c r="H171" s="172">
        <f>SUM(F171)+G171</f>
        <v>3204</v>
      </c>
      <c r="I171" s="188">
        <v>0</v>
      </c>
      <c r="J171" s="189"/>
      <c r="K171" s="188">
        <v>0</v>
      </c>
      <c r="L171" s="172">
        <f t="shared" ref="L171:N173" si="44">SUM(F171)</f>
        <v>3204</v>
      </c>
      <c r="M171" s="172">
        <f t="shared" si="44"/>
        <v>0</v>
      </c>
      <c r="N171" s="395">
        <f t="shared" si="44"/>
        <v>3204</v>
      </c>
      <c r="O171" s="309">
        <v>3203.5</v>
      </c>
      <c r="P171" s="319"/>
      <c r="Q171" s="303"/>
      <c r="R171" s="401">
        <f t="shared" si="40"/>
        <v>99.984394506866408</v>
      </c>
    </row>
    <row r="172" spans="1:18" ht="27" customHeight="1" x14ac:dyDescent="0.2">
      <c r="A172" s="42"/>
      <c r="B172" s="168" t="s">
        <v>189</v>
      </c>
      <c r="C172" s="169" t="s">
        <v>190</v>
      </c>
      <c r="D172" s="170"/>
      <c r="E172" s="171"/>
      <c r="F172" s="172">
        <v>583.6</v>
      </c>
      <c r="G172" s="172">
        <f>G173</f>
        <v>0</v>
      </c>
      <c r="H172" s="172">
        <f>SUM(F172)+G172</f>
        <v>583.6</v>
      </c>
      <c r="I172" s="188"/>
      <c r="J172" s="189"/>
      <c r="K172" s="188"/>
      <c r="L172" s="172">
        <f t="shared" si="44"/>
        <v>583.6</v>
      </c>
      <c r="M172" s="172">
        <f t="shared" si="44"/>
        <v>0</v>
      </c>
      <c r="N172" s="395">
        <f t="shared" si="44"/>
        <v>583.6</v>
      </c>
      <c r="O172" s="309">
        <v>583.5</v>
      </c>
      <c r="P172" s="319"/>
      <c r="Q172" s="303"/>
      <c r="R172" s="401">
        <f t="shared" si="40"/>
        <v>99.982864976010973</v>
      </c>
    </row>
    <row r="173" spans="1:18" ht="51.75" customHeight="1" x14ac:dyDescent="0.2">
      <c r="A173" s="42"/>
      <c r="B173" s="168" t="s">
        <v>35</v>
      </c>
      <c r="C173" s="169" t="s">
        <v>190</v>
      </c>
      <c r="D173" s="170" t="s">
        <v>36</v>
      </c>
      <c r="E173" s="171"/>
      <c r="F173" s="172">
        <v>583.6</v>
      </c>
      <c r="G173" s="172"/>
      <c r="H173" s="172">
        <f>SUM(F173)+G173</f>
        <v>583.6</v>
      </c>
      <c r="I173" s="188"/>
      <c r="J173" s="189"/>
      <c r="K173" s="188"/>
      <c r="L173" s="172">
        <f t="shared" si="44"/>
        <v>583.6</v>
      </c>
      <c r="M173" s="172">
        <f t="shared" si="44"/>
        <v>0</v>
      </c>
      <c r="N173" s="395">
        <f t="shared" si="44"/>
        <v>583.6</v>
      </c>
      <c r="O173" s="309">
        <v>583.5</v>
      </c>
      <c r="P173" s="319"/>
      <c r="Q173" s="303"/>
      <c r="R173" s="401">
        <f t="shared" si="40"/>
        <v>99.982864976010973</v>
      </c>
    </row>
    <row r="174" spans="1:18" ht="31.5" x14ac:dyDescent="0.2">
      <c r="A174" s="42"/>
      <c r="B174" s="202" t="s">
        <v>482</v>
      </c>
      <c r="C174" s="169" t="s">
        <v>481</v>
      </c>
      <c r="D174" s="170"/>
      <c r="E174" s="171"/>
      <c r="F174" s="172"/>
      <c r="G174" s="172"/>
      <c r="H174" s="172"/>
      <c r="I174" s="188">
        <f t="shared" ref="I174:N174" si="45">I175</f>
        <v>3070</v>
      </c>
      <c r="J174" s="188">
        <f t="shared" si="45"/>
        <v>0</v>
      </c>
      <c r="K174" s="188">
        <f t="shared" si="45"/>
        <v>3070</v>
      </c>
      <c r="L174" s="188">
        <f t="shared" si="45"/>
        <v>3070</v>
      </c>
      <c r="M174" s="188">
        <f t="shared" si="45"/>
        <v>0</v>
      </c>
      <c r="N174" s="396">
        <f t="shared" si="45"/>
        <v>3070</v>
      </c>
      <c r="O174" s="309">
        <v>3070</v>
      </c>
      <c r="P174" s="319"/>
      <c r="Q174" s="303"/>
      <c r="R174" s="401">
        <f t="shared" si="40"/>
        <v>100</v>
      </c>
    </row>
    <row r="175" spans="1:18" ht="48" customHeight="1" x14ac:dyDescent="0.2">
      <c r="A175" s="42"/>
      <c r="B175" s="197" t="s">
        <v>35</v>
      </c>
      <c r="C175" s="169" t="s">
        <v>481</v>
      </c>
      <c r="D175" s="170" t="s">
        <v>36</v>
      </c>
      <c r="E175" s="171"/>
      <c r="F175" s="172"/>
      <c r="G175" s="172"/>
      <c r="H175" s="172">
        <f>SUM(G175)</f>
        <v>0</v>
      </c>
      <c r="I175" s="188">
        <v>3070</v>
      </c>
      <c r="J175" s="189"/>
      <c r="K175" s="188">
        <f>SUM(I175:J175)</f>
        <v>3070</v>
      </c>
      <c r="L175" s="172">
        <f>F175+I175</f>
        <v>3070</v>
      </c>
      <c r="M175" s="172">
        <f>G175+J175</f>
        <v>0</v>
      </c>
      <c r="N175" s="395">
        <f>H175+K175</f>
        <v>3070</v>
      </c>
      <c r="O175" s="309">
        <v>3070</v>
      </c>
      <c r="P175" s="319"/>
      <c r="Q175" s="303"/>
      <c r="R175" s="401">
        <f t="shared" si="40"/>
        <v>100</v>
      </c>
    </row>
    <row r="176" spans="1:18" ht="47.25" x14ac:dyDescent="0.2">
      <c r="A176" s="42"/>
      <c r="B176" s="168" t="s">
        <v>191</v>
      </c>
      <c r="C176" s="169" t="s">
        <v>192</v>
      </c>
      <c r="D176" s="170" t="s">
        <v>26</v>
      </c>
      <c r="E176" s="171"/>
      <c r="F176" s="172">
        <f>F177</f>
        <v>6053.5</v>
      </c>
      <c r="G176" s="172">
        <f>G177</f>
        <v>-440</v>
      </c>
      <c r="H176" s="172">
        <f>H177</f>
        <v>5613.5</v>
      </c>
      <c r="I176" s="188">
        <f>I177</f>
        <v>0</v>
      </c>
      <c r="J176" s="189"/>
      <c r="K176" s="188">
        <f>K177</f>
        <v>0</v>
      </c>
      <c r="L176" s="172">
        <f>L177</f>
        <v>6053.5</v>
      </c>
      <c r="M176" s="172">
        <f>M177</f>
        <v>-440</v>
      </c>
      <c r="N176" s="304">
        <f>N177</f>
        <v>5813.5</v>
      </c>
      <c r="O176" s="309">
        <v>4733.1000000000004</v>
      </c>
      <c r="P176" s="319"/>
      <c r="Q176" s="303"/>
      <c r="R176" s="401">
        <f t="shared" si="40"/>
        <v>81.415670422292948</v>
      </c>
    </row>
    <row r="177" spans="1:18" ht="45.75" customHeight="1" x14ac:dyDescent="0.2">
      <c r="A177" s="42"/>
      <c r="B177" s="168" t="s">
        <v>35</v>
      </c>
      <c r="C177" s="169" t="s">
        <v>192</v>
      </c>
      <c r="D177" s="170" t="s">
        <v>36</v>
      </c>
      <c r="E177" s="171"/>
      <c r="F177" s="172">
        <v>6053.5</v>
      </c>
      <c r="G177" s="172">
        <f>-200-240</f>
        <v>-440</v>
      </c>
      <c r="H177" s="172">
        <f>SUM(F177:G177)</f>
        <v>5613.5</v>
      </c>
      <c r="I177" s="188">
        <v>0</v>
      </c>
      <c r="J177" s="189"/>
      <c r="K177" s="188">
        <v>0</v>
      </c>
      <c r="L177" s="172">
        <f>SUM(F177)</f>
        <v>6053.5</v>
      </c>
      <c r="M177" s="172">
        <f>SUM(G177)</f>
        <v>-440</v>
      </c>
      <c r="N177" s="304">
        <v>5813.5</v>
      </c>
      <c r="O177" s="309">
        <v>4733.1000000000004</v>
      </c>
      <c r="P177" s="319"/>
      <c r="Q177" s="303"/>
      <c r="R177" s="401">
        <f t="shared" si="40"/>
        <v>81.415670422292948</v>
      </c>
    </row>
    <row r="178" spans="1:18" ht="34.9" customHeight="1" x14ac:dyDescent="0.2">
      <c r="A178" s="42"/>
      <c r="B178" s="168" t="s">
        <v>193</v>
      </c>
      <c r="C178" s="169" t="s">
        <v>194</v>
      </c>
      <c r="D178" s="170" t="s">
        <v>26</v>
      </c>
      <c r="E178" s="171"/>
      <c r="F178" s="172">
        <f>F179</f>
        <v>12435.4</v>
      </c>
      <c r="G178" s="172">
        <f>G179</f>
        <v>480</v>
      </c>
      <c r="H178" s="172">
        <f>H179</f>
        <v>12915.4</v>
      </c>
      <c r="I178" s="188">
        <f>I179</f>
        <v>0</v>
      </c>
      <c r="J178" s="189"/>
      <c r="K178" s="188">
        <f>K179</f>
        <v>0</v>
      </c>
      <c r="L178" s="172">
        <f>L179</f>
        <v>12435.4</v>
      </c>
      <c r="M178" s="172">
        <f>M179</f>
        <v>480</v>
      </c>
      <c r="N178" s="304">
        <f>N179</f>
        <v>12915.4</v>
      </c>
      <c r="O178" s="309">
        <v>12448.3</v>
      </c>
      <c r="P178" s="319"/>
      <c r="Q178" s="303" t="s">
        <v>509</v>
      </c>
      <c r="R178" s="401">
        <f t="shared" si="40"/>
        <v>96.38338727410688</v>
      </c>
    </row>
    <row r="179" spans="1:18" ht="30.75" customHeight="1" x14ac:dyDescent="0.2">
      <c r="A179" s="42"/>
      <c r="B179" s="168" t="s">
        <v>35</v>
      </c>
      <c r="C179" s="169" t="s">
        <v>194</v>
      </c>
      <c r="D179" s="170" t="s">
        <v>36</v>
      </c>
      <c r="E179" s="171"/>
      <c r="F179" s="172">
        <v>12435.4</v>
      </c>
      <c r="G179" s="172">
        <f>450+480-450</f>
        <v>480</v>
      </c>
      <c r="H179" s="172">
        <f>SUM(F179)+G179</f>
        <v>12915.4</v>
      </c>
      <c r="I179" s="188">
        <v>0</v>
      </c>
      <c r="J179" s="189"/>
      <c r="K179" s="188">
        <v>0</v>
      </c>
      <c r="L179" s="172">
        <f>SUM(F179)</f>
        <v>12435.4</v>
      </c>
      <c r="M179" s="172">
        <f>SUM(G179)</f>
        <v>480</v>
      </c>
      <c r="N179" s="304">
        <f>SUM(H179)</f>
        <v>12915.4</v>
      </c>
      <c r="O179" s="309">
        <v>12448.3</v>
      </c>
      <c r="P179" s="319"/>
      <c r="Q179" s="303"/>
      <c r="R179" s="401">
        <f t="shared" si="40"/>
        <v>96.38338727410688</v>
      </c>
    </row>
    <row r="180" spans="1:18" ht="18.75" hidden="1" x14ac:dyDescent="0.2">
      <c r="A180" s="42"/>
      <c r="B180" s="168"/>
      <c r="C180" s="169"/>
      <c r="D180" s="170"/>
      <c r="E180" s="171"/>
      <c r="F180" s="172"/>
      <c r="G180" s="172"/>
      <c r="H180" s="172"/>
      <c r="I180" s="188"/>
      <c r="J180" s="189"/>
      <c r="K180" s="189"/>
      <c r="L180" s="172"/>
      <c r="M180" s="172">
        <f t="shared" ref="M180:N183" si="46">SUM(J180)</f>
        <v>0</v>
      </c>
      <c r="N180" s="304">
        <f t="shared" si="46"/>
        <v>0</v>
      </c>
      <c r="O180" s="308"/>
      <c r="P180" s="320"/>
      <c r="Q180" s="303"/>
      <c r="R180" s="401" t="e">
        <f t="shared" si="40"/>
        <v>#DIV/0!</v>
      </c>
    </row>
    <row r="181" spans="1:18" ht="63" hidden="1" x14ac:dyDescent="0.2">
      <c r="A181" s="42"/>
      <c r="B181" s="168" t="s">
        <v>35</v>
      </c>
      <c r="C181" s="169"/>
      <c r="D181" s="170" t="s">
        <v>36</v>
      </c>
      <c r="E181" s="171"/>
      <c r="F181" s="172"/>
      <c r="G181" s="172"/>
      <c r="H181" s="172"/>
      <c r="I181" s="188"/>
      <c r="J181" s="189"/>
      <c r="K181" s="188">
        <f>SUM(J181)</f>
        <v>0</v>
      </c>
      <c r="L181" s="172"/>
      <c r="M181" s="172">
        <f t="shared" si="46"/>
        <v>0</v>
      </c>
      <c r="N181" s="304">
        <f t="shared" si="46"/>
        <v>0</v>
      </c>
      <c r="O181" s="308"/>
      <c r="P181" s="320"/>
      <c r="Q181" s="303"/>
      <c r="R181" s="401" t="e">
        <f t="shared" si="40"/>
        <v>#DIV/0!</v>
      </c>
    </row>
    <row r="182" spans="1:18" ht="18.75" hidden="1" x14ac:dyDescent="0.2">
      <c r="A182" s="42"/>
      <c r="B182" s="168"/>
      <c r="C182" s="169"/>
      <c r="D182" s="170"/>
      <c r="E182" s="171"/>
      <c r="F182" s="172"/>
      <c r="G182" s="172"/>
      <c r="H182" s="172"/>
      <c r="I182" s="188"/>
      <c r="J182" s="189"/>
      <c r="K182" s="189"/>
      <c r="L182" s="172"/>
      <c r="M182" s="172">
        <f t="shared" si="46"/>
        <v>0</v>
      </c>
      <c r="N182" s="304">
        <f t="shared" si="46"/>
        <v>0</v>
      </c>
      <c r="O182" s="308"/>
      <c r="P182" s="320"/>
      <c r="Q182" s="303"/>
      <c r="R182" s="401" t="e">
        <f t="shared" si="40"/>
        <v>#DIV/0!</v>
      </c>
    </row>
    <row r="183" spans="1:18" ht="63" hidden="1" x14ac:dyDescent="0.2">
      <c r="A183" s="42"/>
      <c r="B183" s="168" t="s">
        <v>35</v>
      </c>
      <c r="C183" s="169"/>
      <c r="D183" s="170" t="s">
        <v>36</v>
      </c>
      <c r="E183" s="171"/>
      <c r="F183" s="172"/>
      <c r="G183" s="172"/>
      <c r="H183" s="172"/>
      <c r="I183" s="188"/>
      <c r="J183" s="189"/>
      <c r="K183" s="189"/>
      <c r="L183" s="172"/>
      <c r="M183" s="172">
        <f t="shared" si="46"/>
        <v>0</v>
      </c>
      <c r="N183" s="304">
        <f t="shared" si="46"/>
        <v>0</v>
      </c>
      <c r="O183" s="308"/>
      <c r="P183" s="320"/>
      <c r="Q183" s="303"/>
      <c r="R183" s="401" t="e">
        <f t="shared" si="40"/>
        <v>#DIV/0!</v>
      </c>
    </row>
    <row r="184" spans="1:18" ht="52.15" customHeight="1" x14ac:dyDescent="0.2">
      <c r="A184" s="42"/>
      <c r="B184" s="168" t="s">
        <v>477</v>
      </c>
      <c r="C184" s="169" t="s">
        <v>474</v>
      </c>
      <c r="D184" s="170"/>
      <c r="E184" s="171"/>
      <c r="F184" s="172">
        <v>0</v>
      </c>
      <c r="G184" s="172"/>
      <c r="H184" s="172">
        <f>SUM(F184)</f>
        <v>0</v>
      </c>
      <c r="I184" s="189">
        <f>SUM(I185)</f>
        <v>2500.4</v>
      </c>
      <c r="J184" s="189">
        <f>SUM(J185)</f>
        <v>0</v>
      </c>
      <c r="K184" s="189">
        <f>SUM(K185)</f>
        <v>2500.4</v>
      </c>
      <c r="L184" s="172">
        <f>SUM(I184)</f>
        <v>2500.4</v>
      </c>
      <c r="M184" s="172">
        <f>SUM(G184)+J184</f>
        <v>0</v>
      </c>
      <c r="N184" s="304">
        <f>SUM(K184)+H184+M184</f>
        <v>2500.4</v>
      </c>
      <c r="O184" s="309">
        <v>2500.4</v>
      </c>
      <c r="P184" s="319"/>
      <c r="Q184" s="303"/>
      <c r="R184" s="401">
        <f t="shared" si="40"/>
        <v>100</v>
      </c>
    </row>
    <row r="185" spans="1:18" ht="51" customHeight="1" x14ac:dyDescent="0.2">
      <c r="A185" s="42"/>
      <c r="B185" s="168" t="s">
        <v>35</v>
      </c>
      <c r="C185" s="169" t="s">
        <v>474</v>
      </c>
      <c r="D185" s="170" t="s">
        <v>36</v>
      </c>
      <c r="E185" s="171"/>
      <c r="F185" s="172">
        <v>0</v>
      </c>
      <c r="G185" s="172"/>
      <c r="H185" s="172">
        <f>SUM(F185)</f>
        <v>0</v>
      </c>
      <c r="I185" s="188">
        <v>2500.4</v>
      </c>
      <c r="J185" s="189"/>
      <c r="K185" s="189">
        <f>SUM(J185)+I185</f>
        <v>2500.4</v>
      </c>
      <c r="L185" s="172">
        <f>SUM(F185+I185)</f>
        <v>2500.4</v>
      </c>
      <c r="M185" s="172">
        <f>SUM(G185)+J185</f>
        <v>0</v>
      </c>
      <c r="N185" s="304">
        <f>SUM(K185)+H185+M185</f>
        <v>2500.4</v>
      </c>
      <c r="O185" s="309">
        <v>2500.4</v>
      </c>
      <c r="P185" s="319"/>
      <c r="Q185" s="303"/>
      <c r="R185" s="401">
        <f t="shared" si="40"/>
        <v>100</v>
      </c>
    </row>
    <row r="186" spans="1:18" ht="31.5" x14ac:dyDescent="0.2">
      <c r="A186" s="42"/>
      <c r="B186" s="168" t="s">
        <v>476</v>
      </c>
      <c r="C186" s="169" t="s">
        <v>475</v>
      </c>
      <c r="D186" s="170"/>
      <c r="E186" s="171"/>
      <c r="F186" s="172"/>
      <c r="G186" s="172"/>
      <c r="H186" s="172">
        <f>SUM(G186)</f>
        <v>0</v>
      </c>
      <c r="I186" s="188">
        <v>4251.8</v>
      </c>
      <c r="J186" s="189"/>
      <c r="K186" s="189">
        <v>4251.8</v>
      </c>
      <c r="L186" s="172">
        <f>SUM(I186)</f>
        <v>4251.8</v>
      </c>
      <c r="M186" s="172">
        <f>SUM(J186)+H186</f>
        <v>0</v>
      </c>
      <c r="N186" s="304">
        <f>SUM(K186)</f>
        <v>4251.8</v>
      </c>
      <c r="O186" s="309">
        <v>4251.8</v>
      </c>
      <c r="P186" s="319"/>
      <c r="Q186" s="303"/>
      <c r="R186" s="401">
        <f t="shared" si="40"/>
        <v>100</v>
      </c>
    </row>
    <row r="187" spans="1:18" ht="51.75" customHeight="1" x14ac:dyDescent="0.2">
      <c r="A187" s="42"/>
      <c r="B187" s="168" t="s">
        <v>35</v>
      </c>
      <c r="C187" s="169" t="s">
        <v>475</v>
      </c>
      <c r="D187" s="170" t="s">
        <v>36</v>
      </c>
      <c r="E187" s="171"/>
      <c r="F187" s="172"/>
      <c r="G187" s="172"/>
      <c r="H187" s="172">
        <f>SUM(G187)</f>
        <v>0</v>
      </c>
      <c r="I187" s="188">
        <v>4251.8</v>
      </c>
      <c r="J187" s="189"/>
      <c r="K187" s="188">
        <v>4251.8</v>
      </c>
      <c r="L187" s="172">
        <f>SUM(I187)</f>
        <v>4251.8</v>
      </c>
      <c r="M187" s="172">
        <f>SUM(J187)+H187</f>
        <v>0</v>
      </c>
      <c r="N187" s="304">
        <f>SUM(K187)</f>
        <v>4251.8</v>
      </c>
      <c r="O187" s="309">
        <v>4251.8</v>
      </c>
      <c r="P187" s="319"/>
      <c r="Q187" s="303"/>
      <c r="R187" s="401">
        <f t="shared" si="40"/>
        <v>100</v>
      </c>
    </row>
    <row r="188" spans="1:18" ht="96" customHeight="1" x14ac:dyDescent="0.2">
      <c r="A188" s="42"/>
      <c r="B188" s="168" t="s">
        <v>493</v>
      </c>
      <c r="C188" s="169" t="s">
        <v>452</v>
      </c>
      <c r="D188" s="170"/>
      <c r="E188" s="171"/>
      <c r="F188" s="172">
        <f>SUM(F189)</f>
        <v>66.400000000000006</v>
      </c>
      <c r="G188" s="172">
        <f>SUM(G189)</f>
        <v>0</v>
      </c>
      <c r="H188" s="172">
        <f>SUM(F188)</f>
        <v>66.400000000000006</v>
      </c>
      <c r="I188" s="188">
        <f>SUM(I189)</f>
        <v>1260</v>
      </c>
      <c r="J188" s="189">
        <f>SUM(J189)</f>
        <v>0</v>
      </c>
      <c r="K188" s="188">
        <f>SUM(I188)</f>
        <v>1260</v>
      </c>
      <c r="L188" s="172">
        <f>SUM(F188+I188)</f>
        <v>1326.4</v>
      </c>
      <c r="M188" s="172">
        <f>SUM(J188)+G188</f>
        <v>0</v>
      </c>
      <c r="N188" s="304">
        <f>SUM(K188)+H188</f>
        <v>1326.4</v>
      </c>
      <c r="O188" s="309">
        <v>1326.4</v>
      </c>
      <c r="P188" s="319"/>
      <c r="Q188" s="303"/>
      <c r="R188" s="401">
        <f t="shared" si="40"/>
        <v>100</v>
      </c>
    </row>
    <row r="189" spans="1:18" ht="35.450000000000003" customHeight="1" x14ac:dyDescent="0.2">
      <c r="A189" s="42"/>
      <c r="B189" s="168" t="s">
        <v>35</v>
      </c>
      <c r="C189" s="169" t="s">
        <v>452</v>
      </c>
      <c r="D189" s="170" t="s">
        <v>36</v>
      </c>
      <c r="E189" s="171"/>
      <c r="F189" s="172">
        <v>66.400000000000006</v>
      </c>
      <c r="G189" s="172"/>
      <c r="H189" s="172">
        <f>SUM(F189)</f>
        <v>66.400000000000006</v>
      </c>
      <c r="I189" s="188">
        <v>1260</v>
      </c>
      <c r="J189" s="189"/>
      <c r="K189" s="188">
        <f>SUM(I189)</f>
        <v>1260</v>
      </c>
      <c r="L189" s="172">
        <f>SUM(F189+I189)</f>
        <v>1326.4</v>
      </c>
      <c r="M189" s="172">
        <f>SUM(J189)+G189</f>
        <v>0</v>
      </c>
      <c r="N189" s="304">
        <f>SUM(K189)+H189</f>
        <v>1326.4</v>
      </c>
      <c r="O189" s="309">
        <v>1326.4</v>
      </c>
      <c r="P189" s="319"/>
      <c r="Q189" s="303"/>
      <c r="R189" s="401">
        <f t="shared" si="40"/>
        <v>100</v>
      </c>
    </row>
    <row r="190" spans="1:18" ht="18.75" hidden="1" x14ac:dyDescent="0.2">
      <c r="A190" s="42"/>
      <c r="B190" s="168"/>
      <c r="C190" s="169" t="s">
        <v>317</v>
      </c>
      <c r="D190" s="170"/>
      <c r="E190" s="171"/>
      <c r="F190" s="172"/>
      <c r="G190" s="172"/>
      <c r="H190" s="172"/>
      <c r="I190" s="188"/>
      <c r="J190" s="189"/>
      <c r="K190" s="188"/>
      <c r="L190" s="172"/>
      <c r="M190" s="172"/>
      <c r="N190" s="304"/>
      <c r="O190" s="308"/>
      <c r="P190" s="320"/>
      <c r="Q190" s="303"/>
      <c r="R190" s="401" t="e">
        <f t="shared" si="40"/>
        <v>#DIV/0!</v>
      </c>
    </row>
    <row r="191" spans="1:18" ht="18.75" hidden="1" x14ac:dyDescent="0.2">
      <c r="A191" s="42"/>
      <c r="B191" s="168"/>
      <c r="C191" s="169" t="s">
        <v>319</v>
      </c>
      <c r="D191" s="170"/>
      <c r="E191" s="171"/>
      <c r="F191" s="172"/>
      <c r="G191" s="172"/>
      <c r="H191" s="172"/>
      <c r="I191" s="188"/>
      <c r="J191" s="189"/>
      <c r="K191" s="188"/>
      <c r="L191" s="172"/>
      <c r="M191" s="172"/>
      <c r="N191" s="304"/>
      <c r="O191" s="308"/>
      <c r="P191" s="320"/>
      <c r="Q191" s="303"/>
      <c r="R191" s="401" t="e">
        <f t="shared" si="40"/>
        <v>#DIV/0!</v>
      </c>
    </row>
    <row r="192" spans="1:18" ht="18.75" hidden="1" x14ac:dyDescent="0.2">
      <c r="A192" s="42"/>
      <c r="B192" s="168"/>
      <c r="C192" s="169" t="s">
        <v>466</v>
      </c>
      <c r="D192" s="170"/>
      <c r="E192" s="171"/>
      <c r="F192" s="172"/>
      <c r="G192" s="172"/>
      <c r="H192" s="172"/>
      <c r="I192" s="188"/>
      <c r="J192" s="189"/>
      <c r="K192" s="188"/>
      <c r="L192" s="172"/>
      <c r="M192" s="172"/>
      <c r="N192" s="304"/>
      <c r="O192" s="308"/>
      <c r="P192" s="320"/>
      <c r="Q192" s="303"/>
      <c r="R192" s="401" t="e">
        <f t="shared" si="40"/>
        <v>#DIV/0!</v>
      </c>
    </row>
    <row r="193" spans="1:18" ht="63" hidden="1" x14ac:dyDescent="0.2">
      <c r="A193" s="42"/>
      <c r="B193" s="168" t="s">
        <v>35</v>
      </c>
      <c r="C193" s="169" t="s">
        <v>467</v>
      </c>
      <c r="D193" s="170" t="s">
        <v>36</v>
      </c>
      <c r="E193" s="171"/>
      <c r="F193" s="172"/>
      <c r="G193" s="172"/>
      <c r="H193" s="172"/>
      <c r="I193" s="188"/>
      <c r="J193" s="189"/>
      <c r="K193" s="188"/>
      <c r="L193" s="172"/>
      <c r="M193" s="172"/>
      <c r="N193" s="304"/>
      <c r="O193" s="308"/>
      <c r="P193" s="320"/>
      <c r="Q193" s="303"/>
      <c r="R193" s="401" t="e">
        <f t="shared" si="40"/>
        <v>#DIV/0!</v>
      </c>
    </row>
    <row r="194" spans="1:18" ht="49.5" customHeight="1" x14ac:dyDescent="0.2">
      <c r="A194" s="368"/>
      <c r="B194" s="168" t="s">
        <v>195</v>
      </c>
      <c r="C194" s="169" t="s">
        <v>196</v>
      </c>
      <c r="D194" s="208" t="s">
        <v>26</v>
      </c>
      <c r="E194" s="209"/>
      <c r="F194" s="210">
        <f t="shared" ref="F194:O194" si="47">F195</f>
        <v>7298.9</v>
      </c>
      <c r="G194" s="210">
        <f t="shared" si="47"/>
        <v>227.8</v>
      </c>
      <c r="H194" s="210">
        <f t="shared" si="47"/>
        <v>7526.7</v>
      </c>
      <c r="I194" s="211">
        <f t="shared" si="47"/>
        <v>0</v>
      </c>
      <c r="J194" s="210">
        <f t="shared" si="47"/>
        <v>0</v>
      </c>
      <c r="K194" s="211">
        <f t="shared" si="47"/>
        <v>0</v>
      </c>
      <c r="L194" s="210">
        <f t="shared" si="47"/>
        <v>7298.9</v>
      </c>
      <c r="M194" s="210">
        <f t="shared" si="47"/>
        <v>227.8</v>
      </c>
      <c r="N194" s="397">
        <f t="shared" si="47"/>
        <v>7526.7</v>
      </c>
      <c r="O194" s="333">
        <f t="shared" si="47"/>
        <v>7282.5</v>
      </c>
      <c r="P194" s="373"/>
      <c r="Q194" s="303"/>
      <c r="R194" s="401">
        <f t="shared" si="40"/>
        <v>96.755550241141535</v>
      </c>
    </row>
    <row r="195" spans="1:18" ht="63" x14ac:dyDescent="0.2">
      <c r="A195" s="42"/>
      <c r="B195" s="168" t="s">
        <v>197</v>
      </c>
      <c r="C195" s="169" t="s">
        <v>198</v>
      </c>
      <c r="D195" s="170" t="s">
        <v>26</v>
      </c>
      <c r="E195" s="171"/>
      <c r="F195" s="172">
        <f>F196+F198</f>
        <v>7298.9</v>
      </c>
      <c r="G195" s="172">
        <f>G196+G198</f>
        <v>227.8</v>
      </c>
      <c r="H195" s="172">
        <f>H196+H198</f>
        <v>7526.7</v>
      </c>
      <c r="I195" s="188">
        <f>I196+I198</f>
        <v>0</v>
      </c>
      <c r="J195" s="189"/>
      <c r="K195" s="188">
        <f>K196+K198</f>
        <v>0</v>
      </c>
      <c r="L195" s="172">
        <f>L196+L198</f>
        <v>7298.9</v>
      </c>
      <c r="M195" s="172">
        <f>M196+M198</f>
        <v>227.8</v>
      </c>
      <c r="N195" s="395">
        <f>N196+N198</f>
        <v>7526.7</v>
      </c>
      <c r="O195" s="304">
        <f>O196+O198</f>
        <v>7282.5</v>
      </c>
      <c r="P195" s="315"/>
      <c r="Q195" s="303"/>
      <c r="R195" s="401">
        <f t="shared" si="40"/>
        <v>96.755550241141535</v>
      </c>
    </row>
    <row r="196" spans="1:18" ht="31.9" customHeight="1" x14ac:dyDescent="0.2">
      <c r="A196" s="42"/>
      <c r="B196" s="168" t="s">
        <v>199</v>
      </c>
      <c r="C196" s="169" t="s">
        <v>200</v>
      </c>
      <c r="D196" s="170" t="s">
        <v>26</v>
      </c>
      <c r="E196" s="171"/>
      <c r="F196" s="172">
        <f>F197</f>
        <v>3111.7</v>
      </c>
      <c r="G196" s="172">
        <f>G197</f>
        <v>27.8</v>
      </c>
      <c r="H196" s="172">
        <f>H197</f>
        <v>3139.5</v>
      </c>
      <c r="I196" s="188">
        <f>I197</f>
        <v>0</v>
      </c>
      <c r="J196" s="189"/>
      <c r="K196" s="188">
        <f>K197</f>
        <v>0</v>
      </c>
      <c r="L196" s="172">
        <f>L197</f>
        <v>3111.7</v>
      </c>
      <c r="M196" s="172">
        <f>M197</f>
        <v>27.8</v>
      </c>
      <c r="N196" s="395">
        <f>N197</f>
        <v>3139.5</v>
      </c>
      <c r="O196" s="309">
        <v>3137.9</v>
      </c>
      <c r="P196" s="319"/>
      <c r="Q196" s="303"/>
      <c r="R196" s="401">
        <f t="shared" si="40"/>
        <v>99.94903647077561</v>
      </c>
    </row>
    <row r="197" spans="1:18" ht="63" x14ac:dyDescent="0.2">
      <c r="A197" s="42"/>
      <c r="B197" s="168" t="s">
        <v>35</v>
      </c>
      <c r="C197" s="169" t="s">
        <v>200</v>
      </c>
      <c r="D197" s="170" t="s">
        <v>36</v>
      </c>
      <c r="E197" s="171"/>
      <c r="F197" s="172">
        <v>3111.7</v>
      </c>
      <c r="G197" s="172">
        <f>21+6.8</f>
        <v>27.8</v>
      </c>
      <c r="H197" s="172">
        <f>SUM(F197:G197)</f>
        <v>3139.5</v>
      </c>
      <c r="I197" s="188">
        <v>0</v>
      </c>
      <c r="J197" s="189"/>
      <c r="K197" s="188">
        <v>0</v>
      </c>
      <c r="L197" s="172">
        <f>F197+I197</f>
        <v>3111.7</v>
      </c>
      <c r="M197" s="172">
        <f>G197+J197</f>
        <v>27.8</v>
      </c>
      <c r="N197" s="395">
        <f>H197+K197</f>
        <v>3139.5</v>
      </c>
      <c r="O197" s="309">
        <v>3137.9</v>
      </c>
      <c r="P197" s="319"/>
      <c r="Q197" s="303"/>
      <c r="R197" s="401">
        <f t="shared" si="40"/>
        <v>99.94903647077561</v>
      </c>
    </row>
    <row r="198" spans="1:18" ht="63" x14ac:dyDescent="0.2">
      <c r="A198" s="42"/>
      <c r="B198" s="168" t="s">
        <v>201</v>
      </c>
      <c r="C198" s="169" t="s">
        <v>202</v>
      </c>
      <c r="D198" s="170" t="s">
        <v>26</v>
      </c>
      <c r="E198" s="171"/>
      <c r="F198" s="172">
        <f>F199</f>
        <v>4187.2</v>
      </c>
      <c r="G198" s="172">
        <f>G199</f>
        <v>200</v>
      </c>
      <c r="H198" s="172">
        <f>H199</f>
        <v>4387.2</v>
      </c>
      <c r="I198" s="188">
        <f>I199</f>
        <v>0</v>
      </c>
      <c r="J198" s="189"/>
      <c r="K198" s="188">
        <f>K199</f>
        <v>0</v>
      </c>
      <c r="L198" s="172">
        <f>L199</f>
        <v>4187.2</v>
      </c>
      <c r="M198" s="172">
        <f>M199</f>
        <v>200</v>
      </c>
      <c r="N198" s="395">
        <f>N199</f>
        <v>4387.2</v>
      </c>
      <c r="O198" s="309">
        <v>4144.6000000000004</v>
      </c>
      <c r="P198" s="319"/>
      <c r="Q198" s="303"/>
      <c r="R198" s="401">
        <f t="shared" si="40"/>
        <v>94.470277169948957</v>
      </c>
    </row>
    <row r="199" spans="1:18" ht="49.5" customHeight="1" x14ac:dyDescent="0.2">
      <c r="A199" s="42"/>
      <c r="B199" s="168" t="s">
        <v>35</v>
      </c>
      <c r="C199" s="169" t="s">
        <v>202</v>
      </c>
      <c r="D199" s="170" t="s">
        <v>36</v>
      </c>
      <c r="E199" s="171"/>
      <c r="F199" s="172">
        <v>4187.2</v>
      </c>
      <c r="G199" s="172">
        <v>200</v>
      </c>
      <c r="H199" s="172">
        <f>SUM(F199)+G199</f>
        <v>4387.2</v>
      </c>
      <c r="I199" s="188">
        <v>0</v>
      </c>
      <c r="J199" s="189"/>
      <c r="K199" s="188">
        <v>0</v>
      </c>
      <c r="L199" s="172">
        <f>SUM(F199)</f>
        <v>4187.2</v>
      </c>
      <c r="M199" s="172">
        <f>SUM(G199)</f>
        <v>200</v>
      </c>
      <c r="N199" s="395">
        <f>SUM(H199)</f>
        <v>4387.2</v>
      </c>
      <c r="O199" s="309">
        <v>4144.6000000000004</v>
      </c>
      <c r="P199" s="319"/>
      <c r="Q199" s="303"/>
      <c r="R199" s="401">
        <f t="shared" si="40"/>
        <v>94.470277169948957</v>
      </c>
    </row>
    <row r="200" spans="1:18" ht="31.5" x14ac:dyDescent="0.2">
      <c r="A200" s="368"/>
      <c r="B200" s="168" t="s">
        <v>203</v>
      </c>
      <c r="C200" s="169" t="s">
        <v>204</v>
      </c>
      <c r="D200" s="208" t="s">
        <v>26</v>
      </c>
      <c r="E200" s="209"/>
      <c r="F200" s="210">
        <f t="shared" ref="F200:O200" si="48">F201+F204+F216+F211</f>
        <v>144809.20000000001</v>
      </c>
      <c r="G200" s="210">
        <f t="shared" si="48"/>
        <v>0</v>
      </c>
      <c r="H200" s="210">
        <f t="shared" si="48"/>
        <v>144809.20000000001</v>
      </c>
      <c r="I200" s="210">
        <f t="shared" si="48"/>
        <v>72000</v>
      </c>
      <c r="J200" s="210">
        <f t="shared" si="48"/>
        <v>0</v>
      </c>
      <c r="K200" s="210">
        <f t="shared" si="48"/>
        <v>72000</v>
      </c>
      <c r="L200" s="210">
        <f t="shared" si="48"/>
        <v>216809.2</v>
      </c>
      <c r="M200" s="210">
        <f t="shared" si="48"/>
        <v>0</v>
      </c>
      <c r="N200" s="304">
        <f t="shared" si="48"/>
        <v>216809.2</v>
      </c>
      <c r="O200" s="304">
        <f t="shared" si="48"/>
        <v>211652.00000000003</v>
      </c>
      <c r="P200" s="369"/>
      <c r="Q200" s="303"/>
      <c r="R200" s="401">
        <f t="shared" si="40"/>
        <v>97.62131865252951</v>
      </c>
    </row>
    <row r="201" spans="1:18" ht="51.75" customHeight="1" x14ac:dyDescent="0.2">
      <c r="A201" s="42"/>
      <c r="B201" s="168" t="s">
        <v>205</v>
      </c>
      <c r="C201" s="169" t="s">
        <v>206</v>
      </c>
      <c r="D201" s="170" t="s">
        <v>26</v>
      </c>
      <c r="E201" s="171"/>
      <c r="F201" s="172">
        <f t="shared" ref="F201:N202" si="49">F202</f>
        <v>8699.1</v>
      </c>
      <c r="G201" s="172">
        <f t="shared" si="49"/>
        <v>0</v>
      </c>
      <c r="H201" s="172">
        <f t="shared" si="49"/>
        <v>8699.1</v>
      </c>
      <c r="I201" s="188">
        <f t="shared" si="49"/>
        <v>0</v>
      </c>
      <c r="J201" s="189"/>
      <c r="K201" s="188">
        <f t="shared" si="49"/>
        <v>0</v>
      </c>
      <c r="L201" s="172">
        <f t="shared" si="49"/>
        <v>8699.1</v>
      </c>
      <c r="M201" s="172">
        <f t="shared" si="49"/>
        <v>0</v>
      </c>
      <c r="N201" s="304">
        <f t="shared" si="49"/>
        <v>8699.1</v>
      </c>
      <c r="O201" s="309">
        <v>8699.1</v>
      </c>
      <c r="P201" s="319"/>
      <c r="Q201" s="303"/>
      <c r="R201" s="401">
        <f t="shared" si="40"/>
        <v>100</v>
      </c>
    </row>
    <row r="202" spans="1:18" ht="47.25" customHeight="1" x14ac:dyDescent="0.2">
      <c r="A202" s="42"/>
      <c r="B202" s="168" t="s">
        <v>39</v>
      </c>
      <c r="C202" s="169" t="s">
        <v>207</v>
      </c>
      <c r="D202" s="170" t="s">
        <v>26</v>
      </c>
      <c r="E202" s="171"/>
      <c r="F202" s="172">
        <f t="shared" si="49"/>
        <v>8699.1</v>
      </c>
      <c r="G202" s="172">
        <f t="shared" si="49"/>
        <v>0</v>
      </c>
      <c r="H202" s="172">
        <f t="shared" si="49"/>
        <v>8699.1</v>
      </c>
      <c r="I202" s="188">
        <f t="shared" si="49"/>
        <v>0</v>
      </c>
      <c r="J202" s="189"/>
      <c r="K202" s="188">
        <f t="shared" si="49"/>
        <v>0</v>
      </c>
      <c r="L202" s="172">
        <f t="shared" si="49"/>
        <v>8699.1</v>
      </c>
      <c r="M202" s="172">
        <f t="shared" si="49"/>
        <v>0</v>
      </c>
      <c r="N202" s="304">
        <f t="shared" si="49"/>
        <v>8699.1</v>
      </c>
      <c r="O202" s="309">
        <v>8699.1</v>
      </c>
      <c r="P202" s="319"/>
      <c r="Q202" s="303"/>
      <c r="R202" s="401">
        <f t="shared" si="40"/>
        <v>100</v>
      </c>
    </row>
    <row r="203" spans="1:18" ht="63" x14ac:dyDescent="0.2">
      <c r="A203" s="42"/>
      <c r="B203" s="168" t="s">
        <v>74</v>
      </c>
      <c r="C203" s="169" t="s">
        <v>207</v>
      </c>
      <c r="D203" s="170" t="s">
        <v>75</v>
      </c>
      <c r="E203" s="171"/>
      <c r="F203" s="172">
        <v>8699.1</v>
      </c>
      <c r="G203" s="172"/>
      <c r="H203" s="172">
        <f>SUM(F203)</f>
        <v>8699.1</v>
      </c>
      <c r="I203" s="188">
        <v>0</v>
      </c>
      <c r="J203" s="189"/>
      <c r="K203" s="188">
        <v>0</v>
      </c>
      <c r="L203" s="172">
        <f>SUM(F203)</f>
        <v>8699.1</v>
      </c>
      <c r="M203" s="172">
        <f>SUM(G203)</f>
        <v>0</v>
      </c>
      <c r="N203" s="304">
        <f>SUM(L203)</f>
        <v>8699.1</v>
      </c>
      <c r="O203" s="309">
        <v>8699.1</v>
      </c>
      <c r="P203" s="323"/>
      <c r="Q203" s="303"/>
      <c r="R203" s="401">
        <f t="shared" si="40"/>
        <v>100</v>
      </c>
    </row>
    <row r="204" spans="1:18" ht="36" customHeight="1" x14ac:dyDescent="0.2">
      <c r="A204" s="42"/>
      <c r="B204" s="168" t="s">
        <v>208</v>
      </c>
      <c r="C204" s="169" t="s">
        <v>209</v>
      </c>
      <c r="D204" s="170" t="s">
        <v>26</v>
      </c>
      <c r="E204" s="171"/>
      <c r="F204" s="172">
        <f>F205+F207+F209</f>
        <v>121024.8</v>
      </c>
      <c r="G204" s="172">
        <f>SUM(G209)+G205+G207</f>
        <v>0</v>
      </c>
      <c r="H204" s="172">
        <f>H205+H207+H209</f>
        <v>121024.8</v>
      </c>
      <c r="I204" s="188">
        <f t="shared" ref="F204:N205" si="50">I205</f>
        <v>0</v>
      </c>
      <c r="J204" s="189"/>
      <c r="K204" s="188">
        <f t="shared" si="50"/>
        <v>0</v>
      </c>
      <c r="L204" s="172">
        <f>L205+L207+L209</f>
        <v>121024.8</v>
      </c>
      <c r="M204" s="172">
        <f>SUM(M209)+M205+M207</f>
        <v>0</v>
      </c>
      <c r="N204" s="304">
        <f>N205+N207+N209</f>
        <v>121024.8</v>
      </c>
      <c r="O204" s="304">
        <f>O205+O207+O209</f>
        <v>121024.8</v>
      </c>
      <c r="P204" s="315"/>
      <c r="Q204" s="303"/>
      <c r="R204" s="401">
        <f t="shared" si="40"/>
        <v>100</v>
      </c>
    </row>
    <row r="205" spans="1:18" ht="47.25" x14ac:dyDescent="0.2">
      <c r="A205" s="42"/>
      <c r="B205" s="168" t="s">
        <v>39</v>
      </c>
      <c r="C205" s="169" t="s">
        <v>210</v>
      </c>
      <c r="D205" s="170" t="s">
        <v>26</v>
      </c>
      <c r="E205" s="171"/>
      <c r="F205" s="172">
        <f t="shared" si="50"/>
        <v>117945.8</v>
      </c>
      <c r="G205" s="172">
        <f t="shared" si="50"/>
        <v>0</v>
      </c>
      <c r="H205" s="172">
        <f t="shared" si="50"/>
        <v>117945.8</v>
      </c>
      <c r="I205" s="188">
        <f t="shared" si="50"/>
        <v>0</v>
      </c>
      <c r="J205" s="189"/>
      <c r="K205" s="188">
        <f t="shared" si="50"/>
        <v>0</v>
      </c>
      <c r="L205" s="172">
        <f t="shared" si="50"/>
        <v>117945.8</v>
      </c>
      <c r="M205" s="172">
        <f t="shared" si="50"/>
        <v>0</v>
      </c>
      <c r="N205" s="304">
        <f t="shared" si="50"/>
        <v>117945.8</v>
      </c>
      <c r="O205" s="304">
        <f>97105.1+15743+5097.7</f>
        <v>117945.8</v>
      </c>
      <c r="P205" s="324"/>
      <c r="Q205" s="303"/>
      <c r="R205" s="401">
        <f t="shared" si="40"/>
        <v>100</v>
      </c>
    </row>
    <row r="206" spans="1:18" ht="30.75" customHeight="1" x14ac:dyDescent="0.2">
      <c r="A206" s="42"/>
      <c r="B206" s="168" t="s">
        <v>74</v>
      </c>
      <c r="C206" s="169" t="s">
        <v>210</v>
      </c>
      <c r="D206" s="170" t="s">
        <v>75</v>
      </c>
      <c r="E206" s="171"/>
      <c r="F206" s="172">
        <v>117945.8</v>
      </c>
      <c r="G206" s="172"/>
      <c r="H206" s="172">
        <f>SUM(F206+G206)</f>
        <v>117945.8</v>
      </c>
      <c r="I206" s="188">
        <v>0</v>
      </c>
      <c r="J206" s="189"/>
      <c r="K206" s="188">
        <v>0</v>
      </c>
      <c r="L206" s="172">
        <f>SUM(F205)</f>
        <v>117945.8</v>
      </c>
      <c r="M206" s="172">
        <f>SUM(G206)</f>
        <v>0</v>
      </c>
      <c r="N206" s="304">
        <f>97105.1+15743+5097.7</f>
        <v>117945.8</v>
      </c>
      <c r="O206" s="304">
        <f>97105.1+15743+5097.7</f>
        <v>117945.8</v>
      </c>
      <c r="P206" s="315"/>
      <c r="Q206" s="303"/>
      <c r="R206" s="401">
        <f t="shared" si="40"/>
        <v>100</v>
      </c>
    </row>
    <row r="207" spans="1:18" ht="31.5" customHeight="1" x14ac:dyDescent="0.2">
      <c r="A207" s="42"/>
      <c r="B207" s="168" t="s">
        <v>211</v>
      </c>
      <c r="C207" s="169" t="s">
        <v>212</v>
      </c>
      <c r="D207" s="170"/>
      <c r="E207" s="171"/>
      <c r="F207" s="172">
        <v>779</v>
      </c>
      <c r="G207" s="172"/>
      <c r="H207" s="172">
        <f>SUM(F207)</f>
        <v>779</v>
      </c>
      <c r="I207" s="188"/>
      <c r="J207" s="189"/>
      <c r="K207" s="188"/>
      <c r="L207" s="172">
        <f>SUM(F208)</f>
        <v>779</v>
      </c>
      <c r="M207" s="172">
        <f>SUM(G207)</f>
        <v>0</v>
      </c>
      <c r="N207" s="304">
        <f>SUM(L207)</f>
        <v>779</v>
      </c>
      <c r="O207" s="309">
        <v>779</v>
      </c>
      <c r="P207" s="319"/>
      <c r="Q207" s="303"/>
      <c r="R207" s="401">
        <f t="shared" si="40"/>
        <v>100</v>
      </c>
    </row>
    <row r="208" spans="1:18" ht="33.75" customHeight="1" x14ac:dyDescent="0.2">
      <c r="A208" s="42"/>
      <c r="B208" s="168" t="s">
        <v>74</v>
      </c>
      <c r="C208" s="169" t="s">
        <v>212</v>
      </c>
      <c r="D208" s="170" t="s">
        <v>75</v>
      </c>
      <c r="E208" s="171"/>
      <c r="F208" s="172">
        <v>779</v>
      </c>
      <c r="G208" s="172"/>
      <c r="H208" s="172">
        <f>SUM(F208)</f>
        <v>779</v>
      </c>
      <c r="I208" s="188"/>
      <c r="J208" s="189"/>
      <c r="K208" s="188"/>
      <c r="L208" s="172">
        <f t="shared" ref="L208:N218" si="51">SUM(F208)</f>
        <v>779</v>
      </c>
      <c r="M208" s="172">
        <f>SUM(G208)</f>
        <v>0</v>
      </c>
      <c r="N208" s="304">
        <f>SUM(L208)</f>
        <v>779</v>
      </c>
      <c r="O208" s="309">
        <v>779</v>
      </c>
      <c r="P208" s="319"/>
      <c r="Q208" s="303"/>
      <c r="R208" s="401">
        <f t="shared" si="40"/>
        <v>100</v>
      </c>
    </row>
    <row r="209" spans="1:18" ht="31.5" customHeight="1" x14ac:dyDescent="0.2">
      <c r="A209" s="42"/>
      <c r="B209" s="203" t="s">
        <v>78</v>
      </c>
      <c r="C209" s="169" t="s">
        <v>213</v>
      </c>
      <c r="D209" s="170"/>
      <c r="E209" s="171"/>
      <c r="F209" s="172">
        <v>2300</v>
      </c>
      <c r="G209" s="172">
        <f>SUM(G210)</f>
        <v>0</v>
      </c>
      <c r="H209" s="172">
        <f>SUM(H210)</f>
        <v>2300</v>
      </c>
      <c r="I209" s="188"/>
      <c r="J209" s="189"/>
      <c r="K209" s="188"/>
      <c r="L209" s="172">
        <f t="shared" si="51"/>
        <v>2300</v>
      </c>
      <c r="M209" s="172">
        <f t="shared" si="51"/>
        <v>0</v>
      </c>
      <c r="N209" s="395">
        <v>2300</v>
      </c>
      <c r="O209" s="304">
        <v>2300</v>
      </c>
      <c r="P209" s="315"/>
      <c r="Q209" s="303"/>
      <c r="R209" s="401">
        <f t="shared" si="40"/>
        <v>100</v>
      </c>
    </row>
    <row r="210" spans="1:18" ht="31.5" customHeight="1" x14ac:dyDescent="0.2">
      <c r="A210" s="42"/>
      <c r="B210" s="168" t="s">
        <v>74</v>
      </c>
      <c r="C210" s="169" t="s">
        <v>213</v>
      </c>
      <c r="D210" s="170" t="s">
        <v>75</v>
      </c>
      <c r="E210" s="171"/>
      <c r="F210" s="172">
        <v>2300</v>
      </c>
      <c r="G210" s="172"/>
      <c r="H210" s="172">
        <f>SUM(F210)</f>
        <v>2300</v>
      </c>
      <c r="I210" s="188"/>
      <c r="J210" s="189"/>
      <c r="K210" s="188"/>
      <c r="L210" s="172">
        <f t="shared" si="51"/>
        <v>2300</v>
      </c>
      <c r="M210" s="172">
        <f t="shared" si="51"/>
        <v>0</v>
      </c>
      <c r="N210" s="395">
        <v>2300</v>
      </c>
      <c r="O210" s="304">
        <v>2300</v>
      </c>
      <c r="P210" s="315"/>
      <c r="Q210" s="303"/>
      <c r="R210" s="401">
        <f t="shared" si="40"/>
        <v>100</v>
      </c>
    </row>
    <row r="211" spans="1:18" ht="57" customHeight="1" x14ac:dyDescent="0.2">
      <c r="A211" s="42"/>
      <c r="B211" s="198" t="s">
        <v>471</v>
      </c>
      <c r="C211" s="169" t="s">
        <v>469</v>
      </c>
      <c r="D211" s="170"/>
      <c r="E211" s="171"/>
      <c r="F211" s="172">
        <f>SUM(F212)+F214</f>
        <v>3917.3</v>
      </c>
      <c r="G211" s="172">
        <f>SUM(G212)+G214</f>
        <v>0</v>
      </c>
      <c r="H211" s="172">
        <f>SUM(H212)+H214</f>
        <v>3917.3</v>
      </c>
      <c r="I211" s="188">
        <f>SUM(I214)</f>
        <v>72000</v>
      </c>
      <c r="J211" s="172">
        <f>SUM(J212)+J214</f>
        <v>0</v>
      </c>
      <c r="K211" s="172">
        <f>SUM(K212)+K214</f>
        <v>72000</v>
      </c>
      <c r="L211" s="172">
        <f>SUM(F211)+I211</f>
        <v>75917.3</v>
      </c>
      <c r="M211" s="172">
        <f>SUM(G211)+J211</f>
        <v>0</v>
      </c>
      <c r="N211" s="395">
        <f>SUM(H211)+K211</f>
        <v>75917.3</v>
      </c>
      <c r="O211" s="304">
        <f>SUM(O212+O214)</f>
        <v>71349.700000000012</v>
      </c>
      <c r="P211" s="324"/>
      <c r="Q211" s="367"/>
      <c r="R211" s="401">
        <f t="shared" si="40"/>
        <v>93.983453046933974</v>
      </c>
    </row>
    <row r="212" spans="1:18" ht="94.5" customHeight="1" x14ac:dyDescent="0.2">
      <c r="A212" s="42"/>
      <c r="B212" s="158" t="s">
        <v>480</v>
      </c>
      <c r="C212" s="169" t="s">
        <v>470</v>
      </c>
      <c r="D212" s="170"/>
      <c r="E212" s="171"/>
      <c r="F212" s="172">
        <f>SUM(F213)</f>
        <v>3350</v>
      </c>
      <c r="G212" s="172">
        <f>SUM(G213)</f>
        <v>0</v>
      </c>
      <c r="H212" s="172">
        <f>SUM(F212)+G212</f>
        <v>3350</v>
      </c>
      <c r="I212" s="188"/>
      <c r="J212" s="189"/>
      <c r="K212" s="188"/>
      <c r="L212" s="172">
        <f t="shared" si="51"/>
        <v>3350</v>
      </c>
      <c r="M212" s="172">
        <f t="shared" si="51"/>
        <v>0</v>
      </c>
      <c r="N212" s="395">
        <f t="shared" si="51"/>
        <v>3350</v>
      </c>
      <c r="O212" s="309">
        <v>3222.1</v>
      </c>
      <c r="P212" s="323"/>
      <c r="Q212" s="303"/>
      <c r="R212" s="401">
        <f t="shared" si="40"/>
        <v>96.182089552238807</v>
      </c>
    </row>
    <row r="213" spans="1:18" ht="20.25" customHeight="1" x14ac:dyDescent="0.2">
      <c r="A213" s="42"/>
      <c r="B213" s="168" t="s">
        <v>41</v>
      </c>
      <c r="C213" s="169" t="s">
        <v>470</v>
      </c>
      <c r="D213" s="170" t="s">
        <v>42</v>
      </c>
      <c r="E213" s="171"/>
      <c r="F213" s="172">
        <v>3350</v>
      </c>
      <c r="G213" s="172"/>
      <c r="H213" s="172">
        <f>SUM(F213)+G213</f>
        <v>3350</v>
      </c>
      <c r="I213" s="188"/>
      <c r="J213" s="189"/>
      <c r="K213" s="188"/>
      <c r="L213" s="172">
        <f t="shared" si="51"/>
        <v>3350</v>
      </c>
      <c r="M213" s="172">
        <f t="shared" si="51"/>
        <v>0</v>
      </c>
      <c r="N213" s="395">
        <f t="shared" si="51"/>
        <v>3350</v>
      </c>
      <c r="O213" s="309">
        <v>3222.1</v>
      </c>
      <c r="P213" s="319"/>
      <c r="Q213" s="303"/>
      <c r="R213" s="401">
        <f t="shared" si="40"/>
        <v>96.182089552238807</v>
      </c>
    </row>
    <row r="214" spans="1:18" ht="123" customHeight="1" x14ac:dyDescent="0.2">
      <c r="A214" s="42"/>
      <c r="B214" s="288" t="s">
        <v>506</v>
      </c>
      <c r="C214" s="169" t="s">
        <v>500</v>
      </c>
      <c r="D214" s="170"/>
      <c r="E214" s="171"/>
      <c r="F214" s="172">
        <f>SUM(F215)</f>
        <v>567.29999999999995</v>
      </c>
      <c r="G214" s="172"/>
      <c r="H214" s="172">
        <f>SUM(G214)+F214</f>
        <v>567.29999999999995</v>
      </c>
      <c r="I214" s="188">
        <f>SUM(I215)</f>
        <v>72000</v>
      </c>
      <c r="J214" s="189"/>
      <c r="K214" s="188">
        <f>SUM(I214)</f>
        <v>72000</v>
      </c>
      <c r="L214" s="172">
        <f>SUM(F214+I214)</f>
        <v>72567.3</v>
      </c>
      <c r="M214" s="172">
        <f>SUM(G214+J214)</f>
        <v>0</v>
      </c>
      <c r="N214" s="395">
        <f>SUM(M214)+L214</f>
        <v>72567.3</v>
      </c>
      <c r="O214" s="309">
        <v>68127.600000000006</v>
      </c>
      <c r="P214" s="323"/>
      <c r="Q214" s="303"/>
      <c r="R214" s="401">
        <f t="shared" si="40"/>
        <v>93.881955095476883</v>
      </c>
    </row>
    <row r="215" spans="1:18" ht="31.5" customHeight="1" x14ac:dyDescent="0.2">
      <c r="A215" s="42"/>
      <c r="B215" s="168" t="s">
        <v>41</v>
      </c>
      <c r="C215" s="169" t="s">
        <v>500</v>
      </c>
      <c r="D215" s="170" t="s">
        <v>42</v>
      </c>
      <c r="E215" s="171"/>
      <c r="F215" s="172">
        <v>567.29999999999995</v>
      </c>
      <c r="G215" s="172"/>
      <c r="H215" s="172">
        <f>SUM(F215)</f>
        <v>567.29999999999995</v>
      </c>
      <c r="I215" s="188">
        <v>72000</v>
      </c>
      <c r="J215" s="189"/>
      <c r="K215" s="188">
        <f>SUM(J215)+I215</f>
        <v>72000</v>
      </c>
      <c r="L215" s="172">
        <f>SUM(F215+I215)</f>
        <v>72567.3</v>
      </c>
      <c r="M215" s="172">
        <f>SUM(G215+J215)</f>
        <v>0</v>
      </c>
      <c r="N215" s="395">
        <f>SUM(M215)+L215</f>
        <v>72567.3</v>
      </c>
      <c r="O215" s="309">
        <v>68127.600000000006</v>
      </c>
      <c r="P215" s="319"/>
      <c r="Q215" s="303"/>
      <c r="R215" s="401">
        <f t="shared" si="40"/>
        <v>93.881955095476883</v>
      </c>
    </row>
    <row r="216" spans="1:18" ht="49.5" customHeight="1" x14ac:dyDescent="0.2">
      <c r="A216" s="42"/>
      <c r="B216" s="204" t="s">
        <v>214</v>
      </c>
      <c r="C216" s="169" t="s">
        <v>215</v>
      </c>
      <c r="D216" s="170"/>
      <c r="E216" s="171"/>
      <c r="F216" s="172">
        <f>SUM(F217)</f>
        <v>11168</v>
      </c>
      <c r="G216" s="172">
        <f>SUM(G217)</f>
        <v>0</v>
      </c>
      <c r="H216" s="172">
        <f>SUM(F216)+G216</f>
        <v>11168</v>
      </c>
      <c r="I216" s="188"/>
      <c r="J216" s="189"/>
      <c r="K216" s="188"/>
      <c r="L216" s="172">
        <f t="shared" si="51"/>
        <v>11168</v>
      </c>
      <c r="M216" s="172">
        <f t="shared" si="51"/>
        <v>0</v>
      </c>
      <c r="N216" s="395">
        <f t="shared" si="51"/>
        <v>11168</v>
      </c>
      <c r="O216" s="309">
        <v>10578.4</v>
      </c>
      <c r="P216" s="323"/>
      <c r="Q216" s="303"/>
      <c r="R216" s="401">
        <f t="shared" si="40"/>
        <v>94.720630372492835</v>
      </c>
    </row>
    <row r="217" spans="1:18" ht="141.75" x14ac:dyDescent="0.2">
      <c r="A217" s="42"/>
      <c r="B217" s="205" t="s">
        <v>216</v>
      </c>
      <c r="C217" s="169" t="s">
        <v>217</v>
      </c>
      <c r="D217" s="170"/>
      <c r="E217" s="171"/>
      <c r="F217" s="172">
        <v>11168</v>
      </c>
      <c r="G217" s="172">
        <f>SUM(G218)</f>
        <v>0</v>
      </c>
      <c r="H217" s="172">
        <f>SUM(F217)+G217</f>
        <v>11168</v>
      </c>
      <c r="I217" s="188"/>
      <c r="J217" s="189"/>
      <c r="K217" s="188"/>
      <c r="L217" s="172">
        <f t="shared" si="51"/>
        <v>11168</v>
      </c>
      <c r="M217" s="172">
        <f t="shared" si="51"/>
        <v>0</v>
      </c>
      <c r="N217" s="395">
        <f t="shared" si="51"/>
        <v>11168</v>
      </c>
      <c r="O217" s="309">
        <v>10578.4</v>
      </c>
      <c r="P217" s="319"/>
      <c r="Q217" s="303"/>
      <c r="R217" s="401">
        <f t="shared" si="40"/>
        <v>94.720630372492835</v>
      </c>
    </row>
    <row r="218" spans="1:18" ht="18.75" x14ac:dyDescent="0.2">
      <c r="A218" s="42"/>
      <c r="B218" s="168" t="s">
        <v>41</v>
      </c>
      <c r="C218" s="169" t="s">
        <v>217</v>
      </c>
      <c r="D218" s="170" t="s">
        <v>42</v>
      </c>
      <c r="E218" s="171"/>
      <c r="F218" s="172">
        <v>11168</v>
      </c>
      <c r="G218" s="172"/>
      <c r="H218" s="172">
        <f>SUM(F218)+G218</f>
        <v>11168</v>
      </c>
      <c r="I218" s="188"/>
      <c r="J218" s="189"/>
      <c r="K218" s="188"/>
      <c r="L218" s="172">
        <f t="shared" si="51"/>
        <v>11168</v>
      </c>
      <c r="M218" s="172">
        <f t="shared" si="51"/>
        <v>0</v>
      </c>
      <c r="N218" s="395">
        <f t="shared" si="51"/>
        <v>11168</v>
      </c>
      <c r="O218" s="309">
        <v>10578.4</v>
      </c>
      <c r="P218" s="319"/>
      <c r="Q218" s="303"/>
      <c r="R218" s="401">
        <f t="shared" ref="R218:R281" si="52">SUM(O218/N218*100)</f>
        <v>94.720630372492835</v>
      </c>
    </row>
    <row r="219" spans="1:18" ht="54.75" customHeight="1" x14ac:dyDescent="0.2">
      <c r="A219" s="42" t="s">
        <v>218</v>
      </c>
      <c r="B219" s="168" t="s">
        <v>219</v>
      </c>
      <c r="C219" s="169" t="s">
        <v>220</v>
      </c>
      <c r="D219" s="170" t="s">
        <v>26</v>
      </c>
      <c r="E219" s="171"/>
      <c r="F219" s="172">
        <f>F230+F235+F244+F248+F224</f>
        <v>20171.5</v>
      </c>
      <c r="G219" s="172">
        <f>SUM(G225)+G244+G235+G248</f>
        <v>-1137.5</v>
      </c>
      <c r="H219" s="172">
        <f>H230+H235+H244+H248+H224+H220</f>
        <v>19034</v>
      </c>
      <c r="I219" s="188">
        <f>I230+I235+I244+I248+I224</f>
        <v>151494</v>
      </c>
      <c r="J219" s="172">
        <f>J230+J235+J244+J248+J224</f>
        <v>-1842.4</v>
      </c>
      <c r="K219" s="188">
        <f>K230+K235+K244+K248+K224</f>
        <v>149651.6</v>
      </c>
      <c r="L219" s="172">
        <f>SUM(F219+I219)</f>
        <v>171665.5</v>
      </c>
      <c r="M219" s="172">
        <f>SUM(G219+J219)</f>
        <v>-2979.9</v>
      </c>
      <c r="N219" s="395">
        <f>SUM(H219+K219)</f>
        <v>168685.6</v>
      </c>
      <c r="O219" s="374">
        <f>SUM(O224+O230+O235+O244+O248)</f>
        <v>164649.79999999999</v>
      </c>
      <c r="P219" s="375"/>
      <c r="Q219" s="310"/>
      <c r="R219" s="401">
        <f t="shared" si="52"/>
        <v>97.607501766600109</v>
      </c>
    </row>
    <row r="220" spans="1:18" ht="18.75" hidden="1" x14ac:dyDescent="0.2">
      <c r="A220" s="42"/>
      <c r="B220" s="206" t="s">
        <v>177</v>
      </c>
      <c r="C220" s="169"/>
      <c r="D220" s="170"/>
      <c r="E220" s="171"/>
      <c r="F220" s="172"/>
      <c r="G220" s="172"/>
      <c r="H220" s="172">
        <f>SUM(G220)</f>
        <v>0</v>
      </c>
      <c r="I220" s="188"/>
      <c r="J220" s="172">
        <f>SUM(J221)</f>
        <v>0</v>
      </c>
      <c r="K220" s="188">
        <f t="shared" ref="K220:K227" si="53">SUM(J220)</f>
        <v>0</v>
      </c>
      <c r="L220" s="172"/>
      <c r="M220" s="172">
        <f>SUM(G220+J220)</f>
        <v>0</v>
      </c>
      <c r="N220" s="304">
        <f>SUM(H220+K220)</f>
        <v>0</v>
      </c>
      <c r="O220" s="308"/>
      <c r="P220" s="320"/>
      <c r="Q220" s="48"/>
      <c r="R220" s="401" t="e">
        <f t="shared" si="52"/>
        <v>#DIV/0!</v>
      </c>
    </row>
    <row r="221" spans="1:18" ht="78.75" hidden="1" x14ac:dyDescent="0.2">
      <c r="A221" s="42"/>
      <c r="B221" s="168" t="s">
        <v>179</v>
      </c>
      <c r="C221" s="169" t="s">
        <v>451</v>
      </c>
      <c r="D221" s="170" t="s">
        <v>26</v>
      </c>
      <c r="E221" s="171"/>
      <c r="F221" s="172"/>
      <c r="G221" s="172"/>
      <c r="H221" s="172">
        <f>SUM(G221)</f>
        <v>0</v>
      </c>
      <c r="I221" s="188"/>
      <c r="J221" s="172">
        <f>SUM(J222)</f>
        <v>0</v>
      </c>
      <c r="K221" s="188">
        <f t="shared" si="53"/>
        <v>0</v>
      </c>
      <c r="L221" s="172"/>
      <c r="M221" s="172">
        <f>SUM(J221)+G221</f>
        <v>0</v>
      </c>
      <c r="N221" s="304">
        <f>SUM(M221)</f>
        <v>0</v>
      </c>
      <c r="O221" s="308"/>
      <c r="P221" s="320"/>
      <c r="Q221" s="48"/>
      <c r="R221" s="401" t="e">
        <f t="shared" si="52"/>
        <v>#DIV/0!</v>
      </c>
    </row>
    <row r="222" spans="1:18" ht="63" hidden="1" x14ac:dyDescent="0.2">
      <c r="A222" s="42"/>
      <c r="B222" s="168" t="s">
        <v>193</v>
      </c>
      <c r="C222" s="169" t="s">
        <v>451</v>
      </c>
      <c r="D222" s="170"/>
      <c r="E222" s="171"/>
      <c r="F222" s="169"/>
      <c r="G222" s="172"/>
      <c r="H222" s="172">
        <f>SUM(G222)</f>
        <v>0</v>
      </c>
      <c r="I222" s="188"/>
      <c r="J222" s="172">
        <f>SUM(J223)</f>
        <v>0</v>
      </c>
      <c r="K222" s="188">
        <f t="shared" si="53"/>
        <v>0</v>
      </c>
      <c r="L222" s="172"/>
      <c r="M222" s="172">
        <f>SUM(J222)+G222</f>
        <v>0</v>
      </c>
      <c r="N222" s="304">
        <f>SUM(M222)</f>
        <v>0</v>
      </c>
      <c r="O222" s="308"/>
      <c r="P222" s="320"/>
      <c r="Q222" s="48"/>
      <c r="R222" s="401" t="e">
        <f t="shared" si="52"/>
        <v>#DIV/0!</v>
      </c>
    </row>
    <row r="223" spans="1:18" ht="63" hidden="1" x14ac:dyDescent="0.2">
      <c r="A223" s="42"/>
      <c r="B223" s="168" t="s">
        <v>35</v>
      </c>
      <c r="C223" s="169" t="s">
        <v>451</v>
      </c>
      <c r="D223" s="170" t="s">
        <v>36</v>
      </c>
      <c r="E223" s="171"/>
      <c r="F223" s="172"/>
      <c r="G223" s="172"/>
      <c r="H223" s="172">
        <f>SUM(G223)</f>
        <v>0</v>
      </c>
      <c r="I223" s="188"/>
      <c r="J223" s="172"/>
      <c r="K223" s="188">
        <f t="shared" si="53"/>
        <v>0</v>
      </c>
      <c r="L223" s="172"/>
      <c r="M223" s="172">
        <f>SUM(J223)+G223</f>
        <v>0</v>
      </c>
      <c r="N223" s="304">
        <f>SUM(M223)</f>
        <v>0</v>
      </c>
      <c r="O223" s="308"/>
      <c r="P223" s="320"/>
      <c r="Q223" s="48"/>
      <c r="R223" s="401" t="e">
        <f t="shared" si="52"/>
        <v>#DIV/0!</v>
      </c>
    </row>
    <row r="224" spans="1:18" ht="31.5" x14ac:dyDescent="0.2">
      <c r="A224" s="42"/>
      <c r="B224" s="206" t="s">
        <v>221</v>
      </c>
      <c r="C224" s="207" t="s">
        <v>222</v>
      </c>
      <c r="D224" s="208"/>
      <c r="E224" s="209"/>
      <c r="F224" s="172">
        <f>F225</f>
        <v>3623</v>
      </c>
      <c r="G224" s="172">
        <f>SUM(G225)</f>
        <v>-1137.5</v>
      </c>
      <c r="H224" s="172">
        <f t="shared" ref="H224:H229" si="54">SUM(F224)+G224</f>
        <v>2485.5</v>
      </c>
      <c r="I224" s="172">
        <f>SUM(I225)</f>
        <v>3300</v>
      </c>
      <c r="J224" s="172">
        <f>SUM(J225)</f>
        <v>-1842.4</v>
      </c>
      <c r="K224" s="172">
        <f>SUM(K225)</f>
        <v>1457.6</v>
      </c>
      <c r="L224" s="172">
        <f>SUM(F224)+I224</f>
        <v>6923</v>
      </c>
      <c r="M224" s="210">
        <f>SUM(M225)</f>
        <v>-2979.9</v>
      </c>
      <c r="N224" s="395">
        <f>SUM(L224+M224)</f>
        <v>3943.1</v>
      </c>
      <c r="O224" s="395">
        <f>SUM(O225)</f>
        <v>3499.3999999999996</v>
      </c>
      <c r="P224" s="325"/>
      <c r="Q224" s="310"/>
      <c r="R224" s="401">
        <f t="shared" si="52"/>
        <v>88.747432223377544</v>
      </c>
    </row>
    <row r="225" spans="1:18" ht="19.149999999999999" customHeight="1" x14ac:dyDescent="0.2">
      <c r="A225" s="42"/>
      <c r="B225" s="168" t="s">
        <v>223</v>
      </c>
      <c r="C225" s="169" t="s">
        <v>224</v>
      </c>
      <c r="D225" s="170"/>
      <c r="E225" s="171"/>
      <c r="F225" s="172">
        <f>F226+F228</f>
        <v>3623</v>
      </c>
      <c r="G225" s="172">
        <f>SUM(G226)+G228</f>
        <v>-1137.5</v>
      </c>
      <c r="H225" s="172">
        <f t="shared" si="54"/>
        <v>2485.5</v>
      </c>
      <c r="I225" s="172">
        <f>SUM(I226)+I228</f>
        <v>3300</v>
      </c>
      <c r="J225" s="172">
        <f>SUM(J228)</f>
        <v>-1842.4</v>
      </c>
      <c r="K225" s="172">
        <f>SUM(K226)+K228</f>
        <v>1457.6</v>
      </c>
      <c r="L225" s="172">
        <f>SUM(F225)+I225</f>
        <v>6923</v>
      </c>
      <c r="M225" s="172">
        <f>SUM(G225+J225)</f>
        <v>-2979.9</v>
      </c>
      <c r="N225" s="395">
        <f>SUM(L225+M225)</f>
        <v>3943.1</v>
      </c>
      <c r="O225" s="395">
        <f>SUM(O226+O228)</f>
        <v>3499.3999999999996</v>
      </c>
      <c r="P225" s="315"/>
      <c r="Q225" s="310"/>
      <c r="R225" s="401">
        <f t="shared" si="52"/>
        <v>88.747432223377544</v>
      </c>
    </row>
    <row r="226" spans="1:18" ht="31.5" x14ac:dyDescent="0.2">
      <c r="A226" s="42"/>
      <c r="B226" s="168" t="s">
        <v>67</v>
      </c>
      <c r="C226" s="169" t="s">
        <v>225</v>
      </c>
      <c r="D226" s="170"/>
      <c r="E226" s="171"/>
      <c r="F226" s="172">
        <f>F227</f>
        <v>2059</v>
      </c>
      <c r="G226" s="172">
        <f>SUM(G227)</f>
        <v>0</v>
      </c>
      <c r="H226" s="172">
        <f t="shared" si="54"/>
        <v>2059</v>
      </c>
      <c r="I226" s="188"/>
      <c r="J226" s="172">
        <f>SUM(J227)</f>
        <v>0</v>
      </c>
      <c r="K226" s="188">
        <f t="shared" si="53"/>
        <v>0</v>
      </c>
      <c r="L226" s="172">
        <f>SUM(F226)</f>
        <v>2059</v>
      </c>
      <c r="M226" s="172">
        <f>SUM(M227)</f>
        <v>0</v>
      </c>
      <c r="N226" s="395">
        <f>SUM(L226+M226)</f>
        <v>2059</v>
      </c>
      <c r="O226" s="309">
        <v>2041.8</v>
      </c>
      <c r="P226" s="319"/>
      <c r="Q226" s="48"/>
      <c r="R226" s="401">
        <f t="shared" si="52"/>
        <v>99.164643030597375</v>
      </c>
    </row>
    <row r="227" spans="1:18" ht="63" x14ac:dyDescent="0.2">
      <c r="A227" s="42"/>
      <c r="B227" s="168" t="s">
        <v>35</v>
      </c>
      <c r="C227" s="169" t="s">
        <v>225</v>
      </c>
      <c r="D227" s="170" t="s">
        <v>36</v>
      </c>
      <c r="E227" s="171"/>
      <c r="F227" s="172">
        <v>2059</v>
      </c>
      <c r="G227" s="172"/>
      <c r="H227" s="172">
        <f t="shared" si="54"/>
        <v>2059</v>
      </c>
      <c r="I227" s="188"/>
      <c r="J227" s="189"/>
      <c r="K227" s="188">
        <f t="shared" si="53"/>
        <v>0</v>
      </c>
      <c r="L227" s="172">
        <f>SUM(F227)</f>
        <v>2059</v>
      </c>
      <c r="M227" s="172">
        <f>SUM(G227)+J227</f>
        <v>0</v>
      </c>
      <c r="N227" s="395">
        <f>SUM(H227+K227)</f>
        <v>2059</v>
      </c>
      <c r="O227" s="309">
        <v>2041.8</v>
      </c>
      <c r="P227" s="319"/>
      <c r="Q227" s="48"/>
      <c r="R227" s="401">
        <f t="shared" si="52"/>
        <v>99.164643030597375</v>
      </c>
    </row>
    <row r="228" spans="1:18" ht="63" x14ac:dyDescent="0.2">
      <c r="A228" s="42"/>
      <c r="B228" s="168" t="s">
        <v>193</v>
      </c>
      <c r="C228" s="169" t="s">
        <v>451</v>
      </c>
      <c r="D228" s="170"/>
      <c r="E228" s="171"/>
      <c r="F228" s="172">
        <f>F229</f>
        <v>1564</v>
      </c>
      <c r="G228" s="172">
        <f>SUM(G229)</f>
        <v>-1137.5</v>
      </c>
      <c r="H228" s="172">
        <f t="shared" si="54"/>
        <v>426.5</v>
      </c>
      <c r="I228" s="188">
        <v>3300</v>
      </c>
      <c r="J228" s="189">
        <v>-1842.4</v>
      </c>
      <c r="K228" s="188">
        <f>SUM(I228)+J228</f>
        <v>1457.6</v>
      </c>
      <c r="L228" s="172">
        <f>SUM(F228+I228)</f>
        <v>4864</v>
      </c>
      <c r="M228" s="172">
        <f>SUM(G228)+J228</f>
        <v>-2979.9</v>
      </c>
      <c r="N228" s="395">
        <f>SUM(H228)+K228</f>
        <v>1884.1</v>
      </c>
      <c r="O228" s="309">
        <v>1457.6</v>
      </c>
      <c r="P228" s="319"/>
      <c r="Q228" s="48"/>
      <c r="R228" s="401">
        <f t="shared" si="52"/>
        <v>77.363197282522151</v>
      </c>
    </row>
    <row r="229" spans="1:18" ht="63" x14ac:dyDescent="0.2">
      <c r="A229" s="42"/>
      <c r="B229" s="168" t="s">
        <v>35</v>
      </c>
      <c r="C229" s="169" t="s">
        <v>451</v>
      </c>
      <c r="D229" s="170" t="s">
        <v>36</v>
      </c>
      <c r="E229" s="171"/>
      <c r="F229" s="172">
        <v>1564</v>
      </c>
      <c r="G229" s="172">
        <v>-1137.5</v>
      </c>
      <c r="H229" s="172">
        <f t="shared" si="54"/>
        <v>426.5</v>
      </c>
      <c r="I229" s="188">
        <v>3300</v>
      </c>
      <c r="J229" s="189">
        <v>-1842.4</v>
      </c>
      <c r="K229" s="188">
        <f>SUM(I229)+J229</f>
        <v>1457.6</v>
      </c>
      <c r="L229" s="172">
        <f>SUM(F229+I229)</f>
        <v>4864</v>
      </c>
      <c r="M229" s="172">
        <f>SUM(G229)+J229</f>
        <v>-2979.9</v>
      </c>
      <c r="N229" s="395">
        <f>SUM(H229)+K229</f>
        <v>1884.1</v>
      </c>
      <c r="O229" s="309">
        <v>1457.6</v>
      </c>
      <c r="P229" s="319"/>
      <c r="Q229" s="48"/>
      <c r="R229" s="401">
        <f t="shared" si="52"/>
        <v>77.363197282522151</v>
      </c>
    </row>
    <row r="230" spans="1:18" ht="47.25" x14ac:dyDescent="0.2">
      <c r="A230" s="368"/>
      <c r="B230" s="206" t="s">
        <v>226</v>
      </c>
      <c r="C230" s="207" t="s">
        <v>227</v>
      </c>
      <c r="D230" s="208" t="s">
        <v>26</v>
      </c>
      <c r="E230" s="209"/>
      <c r="F230" s="210">
        <f t="shared" ref="F230:O231" si="55">F231</f>
        <v>330</v>
      </c>
      <c r="G230" s="210">
        <f t="shared" si="55"/>
        <v>0</v>
      </c>
      <c r="H230" s="210">
        <f t="shared" si="55"/>
        <v>330</v>
      </c>
      <c r="I230" s="211">
        <f t="shared" si="55"/>
        <v>0</v>
      </c>
      <c r="J230" s="212"/>
      <c r="K230" s="211">
        <f t="shared" si="55"/>
        <v>0</v>
      </c>
      <c r="L230" s="210">
        <f t="shared" si="55"/>
        <v>330</v>
      </c>
      <c r="M230" s="210">
        <f t="shared" si="55"/>
        <v>0</v>
      </c>
      <c r="N230" s="395">
        <f t="shared" si="55"/>
        <v>330</v>
      </c>
      <c r="O230" s="395">
        <f t="shared" si="55"/>
        <v>170</v>
      </c>
      <c r="P230" s="326"/>
      <c r="Q230" s="303"/>
      <c r="R230" s="401">
        <f t="shared" si="52"/>
        <v>51.515151515151516</v>
      </c>
    </row>
    <row r="231" spans="1:18" ht="47.25" x14ac:dyDescent="0.2">
      <c r="A231" s="42"/>
      <c r="B231" s="168" t="s">
        <v>228</v>
      </c>
      <c r="C231" s="169" t="s">
        <v>229</v>
      </c>
      <c r="D231" s="170" t="s">
        <v>26</v>
      </c>
      <c r="E231" s="171"/>
      <c r="F231" s="172">
        <f t="shared" si="55"/>
        <v>330</v>
      </c>
      <c r="G231" s="172">
        <f t="shared" si="55"/>
        <v>0</v>
      </c>
      <c r="H231" s="172">
        <f t="shared" si="55"/>
        <v>330</v>
      </c>
      <c r="I231" s="188">
        <f t="shared" si="55"/>
        <v>0</v>
      </c>
      <c r="J231" s="189"/>
      <c r="K231" s="188">
        <f t="shared" si="55"/>
        <v>0</v>
      </c>
      <c r="L231" s="172">
        <f t="shared" si="55"/>
        <v>330</v>
      </c>
      <c r="M231" s="172">
        <f t="shared" si="55"/>
        <v>0</v>
      </c>
      <c r="N231" s="395">
        <f t="shared" si="55"/>
        <v>330</v>
      </c>
      <c r="O231" s="395">
        <f t="shared" si="55"/>
        <v>170</v>
      </c>
      <c r="P231" s="315"/>
      <c r="Q231" s="303"/>
      <c r="R231" s="401">
        <f t="shared" si="52"/>
        <v>51.515151515151516</v>
      </c>
    </row>
    <row r="232" spans="1:18" ht="47.25" x14ac:dyDescent="0.2">
      <c r="A232" s="42"/>
      <c r="B232" s="168" t="s">
        <v>226</v>
      </c>
      <c r="C232" s="169" t="s">
        <v>230</v>
      </c>
      <c r="D232" s="170" t="s">
        <v>26</v>
      </c>
      <c r="E232" s="171"/>
      <c r="F232" s="172">
        <f>F234+F233</f>
        <v>330</v>
      </c>
      <c r="G232" s="172">
        <f>G234+G233</f>
        <v>0</v>
      </c>
      <c r="H232" s="172">
        <f>H234+H233</f>
        <v>330</v>
      </c>
      <c r="I232" s="188">
        <f>I234+I233</f>
        <v>0</v>
      </c>
      <c r="J232" s="189"/>
      <c r="K232" s="188">
        <f>K234+K233</f>
        <v>0</v>
      </c>
      <c r="L232" s="172">
        <f>L234+L233</f>
        <v>330</v>
      </c>
      <c r="M232" s="172">
        <f>M234+M233</f>
        <v>0</v>
      </c>
      <c r="N232" s="395">
        <f>N234+N233</f>
        <v>330</v>
      </c>
      <c r="O232" s="395">
        <f>O234+O233</f>
        <v>170</v>
      </c>
      <c r="P232" s="315"/>
      <c r="Q232" s="303"/>
      <c r="R232" s="401">
        <f t="shared" si="52"/>
        <v>51.515151515151516</v>
      </c>
    </row>
    <row r="233" spans="1:18" ht="63" x14ac:dyDescent="0.2">
      <c r="A233" s="42"/>
      <c r="B233" s="168" t="s">
        <v>35</v>
      </c>
      <c r="C233" s="169" t="s">
        <v>230</v>
      </c>
      <c r="D233" s="170" t="s">
        <v>36</v>
      </c>
      <c r="E233" s="171"/>
      <c r="F233" s="172">
        <v>200</v>
      </c>
      <c r="G233" s="172"/>
      <c r="H233" s="172">
        <v>200</v>
      </c>
      <c r="I233" s="188">
        <v>0</v>
      </c>
      <c r="J233" s="189"/>
      <c r="K233" s="188">
        <v>0</v>
      </c>
      <c r="L233" s="172">
        <v>200</v>
      </c>
      <c r="M233" s="172"/>
      <c r="N233" s="395">
        <v>200</v>
      </c>
      <c r="O233" s="309">
        <v>170</v>
      </c>
      <c r="P233" s="319"/>
      <c r="Q233" s="303"/>
      <c r="R233" s="401">
        <f t="shared" si="52"/>
        <v>85</v>
      </c>
    </row>
    <row r="234" spans="1:18" ht="18.75" x14ac:dyDescent="0.2">
      <c r="A234" s="42"/>
      <c r="B234" s="168" t="s">
        <v>41</v>
      </c>
      <c r="C234" s="169" t="s">
        <v>230</v>
      </c>
      <c r="D234" s="170" t="s">
        <v>42</v>
      </c>
      <c r="E234" s="171"/>
      <c r="F234" s="172">
        <v>130</v>
      </c>
      <c r="G234" s="172"/>
      <c r="H234" s="172">
        <v>130</v>
      </c>
      <c r="I234" s="188">
        <v>0</v>
      </c>
      <c r="J234" s="189"/>
      <c r="K234" s="188">
        <v>0</v>
      </c>
      <c r="L234" s="172">
        <v>130</v>
      </c>
      <c r="M234" s="172"/>
      <c r="N234" s="395">
        <v>130</v>
      </c>
      <c r="O234" s="308"/>
      <c r="P234" s="320"/>
      <c r="Q234" s="303"/>
      <c r="R234" s="401">
        <f t="shared" si="52"/>
        <v>0</v>
      </c>
    </row>
    <row r="235" spans="1:18" ht="22.15" customHeight="1" x14ac:dyDescent="0.2">
      <c r="A235" s="368"/>
      <c r="B235" s="206" t="s">
        <v>231</v>
      </c>
      <c r="C235" s="207" t="s">
        <v>232</v>
      </c>
      <c r="D235" s="208" t="s">
        <v>26</v>
      </c>
      <c r="E235" s="209"/>
      <c r="F235" s="210">
        <f t="shared" ref="F235:O236" si="56">F236</f>
        <v>4396.1000000000004</v>
      </c>
      <c r="G235" s="210">
        <f t="shared" si="56"/>
        <v>0</v>
      </c>
      <c r="H235" s="210">
        <f t="shared" si="56"/>
        <v>4396.1000000000004</v>
      </c>
      <c r="I235" s="211">
        <f t="shared" si="56"/>
        <v>0</v>
      </c>
      <c r="J235" s="210">
        <f t="shared" si="56"/>
        <v>0</v>
      </c>
      <c r="K235" s="211">
        <f t="shared" si="56"/>
        <v>0</v>
      </c>
      <c r="L235" s="210">
        <f t="shared" si="56"/>
        <v>4396.1000000000004</v>
      </c>
      <c r="M235" s="210">
        <f t="shared" si="56"/>
        <v>0</v>
      </c>
      <c r="N235" s="395">
        <f t="shared" si="56"/>
        <v>4396.1000000000004</v>
      </c>
      <c r="O235" s="395">
        <f t="shared" si="56"/>
        <v>4386.6000000000004</v>
      </c>
      <c r="P235" s="326"/>
      <c r="Q235" s="367"/>
      <c r="R235" s="401">
        <f t="shared" si="52"/>
        <v>99.783899365346556</v>
      </c>
    </row>
    <row r="236" spans="1:18" ht="34.9" customHeight="1" x14ac:dyDescent="0.2">
      <c r="A236" s="42"/>
      <c r="B236" s="168" t="s">
        <v>233</v>
      </c>
      <c r="C236" s="169" t="s">
        <v>234</v>
      </c>
      <c r="D236" s="170" t="s">
        <v>26</v>
      </c>
      <c r="E236" s="171"/>
      <c r="F236" s="172">
        <f t="shared" si="56"/>
        <v>4396.1000000000004</v>
      </c>
      <c r="G236" s="172">
        <f>G237+G242</f>
        <v>0</v>
      </c>
      <c r="H236" s="172">
        <f t="shared" si="56"/>
        <v>4396.1000000000004</v>
      </c>
      <c r="I236" s="188">
        <f t="shared" si="56"/>
        <v>0</v>
      </c>
      <c r="J236" s="189"/>
      <c r="K236" s="188">
        <f t="shared" si="56"/>
        <v>0</v>
      </c>
      <c r="L236" s="172">
        <f t="shared" si="56"/>
        <v>4396.1000000000004</v>
      </c>
      <c r="M236" s="172">
        <f>SUM(G236)</f>
        <v>0</v>
      </c>
      <c r="N236" s="395">
        <f>N237</f>
        <v>4396.1000000000004</v>
      </c>
      <c r="O236" s="395">
        <f>O237</f>
        <v>4386.6000000000004</v>
      </c>
      <c r="P236" s="315"/>
      <c r="Q236" s="367"/>
      <c r="R236" s="401">
        <f t="shared" si="52"/>
        <v>99.783899365346556</v>
      </c>
    </row>
    <row r="237" spans="1:18" ht="47.25" x14ac:dyDescent="0.2">
      <c r="A237" s="42"/>
      <c r="B237" s="168" t="s">
        <v>39</v>
      </c>
      <c r="C237" s="169" t="s">
        <v>235</v>
      </c>
      <c r="D237" s="170" t="s">
        <v>26</v>
      </c>
      <c r="E237" s="171"/>
      <c r="F237" s="172">
        <f>F238+F239</f>
        <v>4396.1000000000004</v>
      </c>
      <c r="G237" s="172">
        <f>G238+G239</f>
        <v>0</v>
      </c>
      <c r="H237" s="172">
        <f>H238+H239</f>
        <v>4396.1000000000004</v>
      </c>
      <c r="I237" s="188">
        <f>I238+I239</f>
        <v>0</v>
      </c>
      <c r="J237" s="189"/>
      <c r="K237" s="188">
        <f>K238+K239</f>
        <v>0</v>
      </c>
      <c r="L237" s="172">
        <f>L238+L239</f>
        <v>4396.1000000000004</v>
      </c>
      <c r="M237" s="172">
        <f>M238+M239</f>
        <v>0</v>
      </c>
      <c r="N237" s="395">
        <f>N238+N239</f>
        <v>4396.1000000000004</v>
      </c>
      <c r="O237" s="395">
        <f>O238+O239</f>
        <v>4386.6000000000004</v>
      </c>
      <c r="P237" s="315"/>
      <c r="Q237" s="367"/>
      <c r="R237" s="401">
        <f t="shared" si="52"/>
        <v>99.783899365346556</v>
      </c>
    </row>
    <row r="238" spans="1:18" ht="66" customHeight="1" x14ac:dyDescent="0.2">
      <c r="A238" s="42"/>
      <c r="B238" s="168" t="s">
        <v>31</v>
      </c>
      <c r="C238" s="169" t="s">
        <v>235</v>
      </c>
      <c r="D238" s="170" t="s">
        <v>32</v>
      </c>
      <c r="E238" s="171"/>
      <c r="F238" s="172">
        <v>4250.6000000000004</v>
      </c>
      <c r="G238" s="172"/>
      <c r="H238" s="172">
        <f>SUM(F238)</f>
        <v>4250.6000000000004</v>
      </c>
      <c r="I238" s="188">
        <v>0</v>
      </c>
      <c r="J238" s="189"/>
      <c r="K238" s="188">
        <v>0</v>
      </c>
      <c r="L238" s="172">
        <f>SUM(F238)</f>
        <v>4250.6000000000004</v>
      </c>
      <c r="M238" s="172">
        <f>SUM(G238)</f>
        <v>0</v>
      </c>
      <c r="N238" s="395">
        <f>SUM(H238)</f>
        <v>4250.6000000000004</v>
      </c>
      <c r="O238" s="309">
        <v>4241.1000000000004</v>
      </c>
      <c r="P238" s="319"/>
      <c r="Q238" s="303"/>
      <c r="R238" s="401">
        <f t="shared" si="52"/>
        <v>99.776502140874229</v>
      </c>
    </row>
    <row r="239" spans="1:18" ht="30.75" customHeight="1" x14ac:dyDescent="0.2">
      <c r="A239" s="42"/>
      <c r="B239" s="168" t="s">
        <v>35</v>
      </c>
      <c r="C239" s="169" t="s">
        <v>235</v>
      </c>
      <c r="D239" s="170" t="s">
        <v>36</v>
      </c>
      <c r="E239" s="171"/>
      <c r="F239" s="172">
        <v>145.5</v>
      </c>
      <c r="G239" s="172"/>
      <c r="H239" s="172">
        <v>145.5</v>
      </c>
      <c r="I239" s="188">
        <v>0</v>
      </c>
      <c r="J239" s="189"/>
      <c r="K239" s="188">
        <v>0</v>
      </c>
      <c r="L239" s="172">
        <v>145.5</v>
      </c>
      <c r="M239" s="172"/>
      <c r="N239" s="395">
        <v>145.5</v>
      </c>
      <c r="O239" s="309">
        <v>145.5</v>
      </c>
      <c r="P239" s="319"/>
      <c r="Q239" s="303"/>
      <c r="R239" s="401">
        <f t="shared" si="52"/>
        <v>100</v>
      </c>
    </row>
    <row r="240" spans="1:18" ht="18.75" hidden="1" x14ac:dyDescent="0.2">
      <c r="A240" s="42"/>
      <c r="B240" s="168"/>
      <c r="C240" s="169"/>
      <c r="D240" s="170"/>
      <c r="E240" s="171"/>
      <c r="F240" s="172"/>
      <c r="G240" s="172"/>
      <c r="H240" s="172"/>
      <c r="I240" s="188"/>
      <c r="J240" s="189"/>
      <c r="K240" s="188"/>
      <c r="L240" s="172"/>
      <c r="M240" s="172"/>
      <c r="N240" s="395"/>
      <c r="O240" s="308"/>
      <c r="P240" s="320"/>
      <c r="Q240" s="303"/>
      <c r="R240" s="401" t="e">
        <f t="shared" si="52"/>
        <v>#DIV/0!</v>
      </c>
    </row>
    <row r="241" spans="1:18" ht="18.75" hidden="1" x14ac:dyDescent="0.2">
      <c r="A241" s="42"/>
      <c r="B241" s="168"/>
      <c r="C241" s="169" t="s">
        <v>457</v>
      </c>
      <c r="D241" s="170"/>
      <c r="E241" s="171"/>
      <c r="F241" s="172"/>
      <c r="G241" s="172"/>
      <c r="H241" s="172"/>
      <c r="I241" s="188"/>
      <c r="J241" s="189"/>
      <c r="K241" s="188"/>
      <c r="L241" s="172"/>
      <c r="M241" s="172"/>
      <c r="N241" s="395"/>
      <c r="O241" s="308"/>
      <c r="P241" s="320"/>
      <c r="Q241" s="303"/>
      <c r="R241" s="401" t="e">
        <f t="shared" si="52"/>
        <v>#DIV/0!</v>
      </c>
    </row>
    <row r="242" spans="1:18" ht="110.25" hidden="1" x14ac:dyDescent="0.2">
      <c r="A242" s="42"/>
      <c r="B242" s="168" t="s">
        <v>458</v>
      </c>
      <c r="C242" s="169" t="s">
        <v>457</v>
      </c>
      <c r="D242" s="170"/>
      <c r="E242" s="171"/>
      <c r="F242" s="172"/>
      <c r="G242" s="172">
        <f>SUM(G243)</f>
        <v>0</v>
      </c>
      <c r="H242" s="172"/>
      <c r="I242" s="188"/>
      <c r="J242" s="189"/>
      <c r="K242" s="188"/>
      <c r="L242" s="172"/>
      <c r="M242" s="172">
        <f>SUM(G242)</f>
        <v>0</v>
      </c>
      <c r="N242" s="395">
        <f>SUM(H242)</f>
        <v>0</v>
      </c>
      <c r="O242" s="308"/>
      <c r="P242" s="320"/>
      <c r="Q242" s="303"/>
      <c r="R242" s="401" t="e">
        <f t="shared" si="52"/>
        <v>#DIV/0!</v>
      </c>
    </row>
    <row r="243" spans="1:18" ht="18.75" hidden="1" x14ac:dyDescent="0.2">
      <c r="A243" s="42"/>
      <c r="B243" s="168" t="s">
        <v>278</v>
      </c>
      <c r="C243" s="169" t="s">
        <v>457</v>
      </c>
      <c r="D243" s="170" t="s">
        <v>279</v>
      </c>
      <c r="E243" s="171"/>
      <c r="F243" s="172"/>
      <c r="G243" s="172"/>
      <c r="H243" s="172">
        <f>SUM(G243)</f>
        <v>0</v>
      </c>
      <c r="I243" s="188"/>
      <c r="J243" s="189"/>
      <c r="K243" s="188"/>
      <c r="L243" s="172"/>
      <c r="M243" s="172">
        <f>SUM(G243)</f>
        <v>0</v>
      </c>
      <c r="N243" s="395">
        <f>SUM(H243)</f>
        <v>0</v>
      </c>
      <c r="O243" s="308"/>
      <c r="P243" s="320"/>
      <c r="Q243" s="303"/>
      <c r="R243" s="401" t="e">
        <f t="shared" si="52"/>
        <v>#DIV/0!</v>
      </c>
    </row>
    <row r="244" spans="1:18" ht="48.6" customHeight="1" x14ac:dyDescent="0.2">
      <c r="A244" s="368"/>
      <c r="B244" s="206" t="s">
        <v>236</v>
      </c>
      <c r="C244" s="207" t="s">
        <v>237</v>
      </c>
      <c r="D244" s="208" t="s">
        <v>26</v>
      </c>
      <c r="E244" s="209"/>
      <c r="F244" s="210">
        <f t="shared" ref="F244:O246" si="57">F245</f>
        <v>600</v>
      </c>
      <c r="G244" s="210">
        <f t="shared" si="57"/>
        <v>0</v>
      </c>
      <c r="H244" s="210">
        <f t="shared" si="57"/>
        <v>600</v>
      </c>
      <c r="I244" s="211">
        <f t="shared" si="57"/>
        <v>0</v>
      </c>
      <c r="J244" s="210">
        <f>J245</f>
        <v>0</v>
      </c>
      <c r="K244" s="211">
        <f t="shared" si="57"/>
        <v>0</v>
      </c>
      <c r="L244" s="210">
        <f t="shared" si="57"/>
        <v>600</v>
      </c>
      <c r="M244" s="210">
        <f t="shared" si="57"/>
        <v>0</v>
      </c>
      <c r="N244" s="397">
        <f t="shared" si="57"/>
        <v>600</v>
      </c>
      <c r="O244" s="397">
        <f t="shared" si="57"/>
        <v>600</v>
      </c>
      <c r="P244" s="326"/>
      <c r="Q244" s="367"/>
      <c r="R244" s="401">
        <f t="shared" si="52"/>
        <v>100</v>
      </c>
    </row>
    <row r="245" spans="1:18" ht="33.6" customHeight="1" x14ac:dyDescent="0.2">
      <c r="A245" s="42"/>
      <c r="B245" s="168" t="s">
        <v>238</v>
      </c>
      <c r="C245" s="169" t="s">
        <v>239</v>
      </c>
      <c r="D245" s="170" t="s">
        <v>26</v>
      </c>
      <c r="E245" s="171"/>
      <c r="F245" s="172">
        <f t="shared" si="57"/>
        <v>600</v>
      </c>
      <c r="G245" s="172">
        <f t="shared" si="57"/>
        <v>0</v>
      </c>
      <c r="H245" s="172">
        <f t="shared" si="57"/>
        <v>600</v>
      </c>
      <c r="I245" s="188">
        <f t="shared" si="57"/>
        <v>0</v>
      </c>
      <c r="J245" s="189"/>
      <c r="K245" s="188">
        <f t="shared" si="57"/>
        <v>0</v>
      </c>
      <c r="L245" s="172">
        <f t="shared" si="57"/>
        <v>600</v>
      </c>
      <c r="M245" s="172">
        <f t="shared" si="57"/>
        <v>0</v>
      </c>
      <c r="N245" s="395">
        <f t="shared" si="57"/>
        <v>600</v>
      </c>
      <c r="O245" s="395">
        <f t="shared" si="57"/>
        <v>600</v>
      </c>
      <c r="P245" s="315"/>
      <c r="Q245" s="367"/>
      <c r="R245" s="401">
        <f t="shared" si="52"/>
        <v>100</v>
      </c>
    </row>
    <row r="246" spans="1:18" ht="31.5" x14ac:dyDescent="0.2">
      <c r="A246" s="42"/>
      <c r="B246" s="168" t="s">
        <v>240</v>
      </c>
      <c r="C246" s="169" t="s">
        <v>241</v>
      </c>
      <c r="D246" s="170" t="s">
        <v>26</v>
      </c>
      <c r="E246" s="171"/>
      <c r="F246" s="172">
        <f t="shared" si="57"/>
        <v>600</v>
      </c>
      <c r="G246" s="172">
        <f t="shared" si="57"/>
        <v>0</v>
      </c>
      <c r="H246" s="172">
        <f t="shared" si="57"/>
        <v>600</v>
      </c>
      <c r="I246" s="188">
        <f t="shared" si="57"/>
        <v>0</v>
      </c>
      <c r="J246" s="189"/>
      <c r="K246" s="188">
        <f t="shared" si="57"/>
        <v>0</v>
      </c>
      <c r="L246" s="172">
        <f t="shared" si="57"/>
        <v>600</v>
      </c>
      <c r="M246" s="172">
        <f t="shared" si="57"/>
        <v>0</v>
      </c>
      <c r="N246" s="395">
        <f t="shared" si="57"/>
        <v>600</v>
      </c>
      <c r="O246" s="395">
        <f t="shared" si="57"/>
        <v>600</v>
      </c>
      <c r="P246" s="315"/>
      <c r="Q246" s="367"/>
      <c r="R246" s="401">
        <f t="shared" si="52"/>
        <v>100</v>
      </c>
    </row>
    <row r="247" spans="1:18" ht="63" x14ac:dyDescent="0.2">
      <c r="A247" s="42"/>
      <c r="B247" s="168" t="s">
        <v>35</v>
      </c>
      <c r="C247" s="169" t="s">
        <v>241</v>
      </c>
      <c r="D247" s="170" t="s">
        <v>36</v>
      </c>
      <c r="E247" s="171"/>
      <c r="F247" s="172">
        <v>600</v>
      </c>
      <c r="G247" s="172"/>
      <c r="H247" s="172">
        <f>F247+G247</f>
        <v>600</v>
      </c>
      <c r="I247" s="188">
        <v>0</v>
      </c>
      <c r="J247" s="189"/>
      <c r="K247" s="188">
        <v>0</v>
      </c>
      <c r="L247" s="172">
        <f>SUM(F247)</f>
        <v>600</v>
      </c>
      <c r="M247" s="172">
        <f>SUM(G247)</f>
        <v>0</v>
      </c>
      <c r="N247" s="395">
        <f>SUM(H247)</f>
        <v>600</v>
      </c>
      <c r="O247" s="311">
        <v>600</v>
      </c>
      <c r="P247" s="322"/>
      <c r="Q247" s="367"/>
      <c r="R247" s="401">
        <f t="shared" si="52"/>
        <v>100</v>
      </c>
    </row>
    <row r="248" spans="1:18" ht="31.5" x14ac:dyDescent="0.2">
      <c r="A248" s="368"/>
      <c r="B248" s="206" t="s">
        <v>140</v>
      </c>
      <c r="C248" s="207" t="s">
        <v>242</v>
      </c>
      <c r="D248" s="208" t="s">
        <v>26</v>
      </c>
      <c r="E248" s="209"/>
      <c r="F248" s="210">
        <f t="shared" ref="F248:O250" si="58">F249</f>
        <v>11222.4</v>
      </c>
      <c r="G248" s="210">
        <f t="shared" si="58"/>
        <v>0</v>
      </c>
      <c r="H248" s="210">
        <f t="shared" si="58"/>
        <v>11222.4</v>
      </c>
      <c r="I248" s="211">
        <f t="shared" si="58"/>
        <v>148194</v>
      </c>
      <c r="J248" s="210">
        <f>J249</f>
        <v>0</v>
      </c>
      <c r="K248" s="211">
        <f t="shared" si="58"/>
        <v>148194</v>
      </c>
      <c r="L248" s="210">
        <f t="shared" si="58"/>
        <v>159416.4</v>
      </c>
      <c r="M248" s="210">
        <f t="shared" si="58"/>
        <v>0</v>
      </c>
      <c r="N248" s="395">
        <f t="shared" si="58"/>
        <v>159416.4</v>
      </c>
      <c r="O248" s="395">
        <f t="shared" si="58"/>
        <v>155993.79999999999</v>
      </c>
      <c r="P248" s="326"/>
      <c r="Q248" s="367"/>
      <c r="R248" s="401">
        <f t="shared" si="52"/>
        <v>97.853043977909422</v>
      </c>
    </row>
    <row r="249" spans="1:18" ht="47.25" x14ac:dyDescent="0.2">
      <c r="A249" s="42"/>
      <c r="B249" s="168" t="s">
        <v>243</v>
      </c>
      <c r="C249" s="169" t="s">
        <v>244</v>
      </c>
      <c r="D249" s="170" t="s">
        <v>26</v>
      </c>
      <c r="E249" s="171"/>
      <c r="F249" s="172">
        <f>F250+F252</f>
        <v>11222.4</v>
      </c>
      <c r="G249" s="172">
        <f>G250+G252</f>
        <v>0</v>
      </c>
      <c r="H249" s="172">
        <f>H250+H252</f>
        <v>11222.4</v>
      </c>
      <c r="I249" s="188">
        <f t="shared" si="58"/>
        <v>148194</v>
      </c>
      <c r="J249" s="189"/>
      <c r="K249" s="188">
        <f t="shared" si="58"/>
        <v>148194</v>
      </c>
      <c r="L249" s="172">
        <f>L250+L252</f>
        <v>159416.4</v>
      </c>
      <c r="M249" s="172">
        <f>M250+M252</f>
        <v>0</v>
      </c>
      <c r="N249" s="395">
        <f>N250+N252</f>
        <v>159416.4</v>
      </c>
      <c r="O249" s="395">
        <f>O250+O252</f>
        <v>155993.79999999999</v>
      </c>
      <c r="P249" s="315"/>
      <c r="Q249" s="367"/>
      <c r="R249" s="401">
        <f t="shared" si="52"/>
        <v>97.853043977909422</v>
      </c>
    </row>
    <row r="250" spans="1:18" ht="97.15" customHeight="1" x14ac:dyDescent="0.2">
      <c r="A250" s="42"/>
      <c r="B250" s="168" t="s">
        <v>478</v>
      </c>
      <c r="C250" s="169" t="s">
        <v>246</v>
      </c>
      <c r="D250" s="170" t="s">
        <v>26</v>
      </c>
      <c r="E250" s="171"/>
      <c r="F250" s="172">
        <f t="shared" si="58"/>
        <v>7799.8</v>
      </c>
      <c r="G250" s="172">
        <f t="shared" si="58"/>
        <v>0</v>
      </c>
      <c r="H250" s="172">
        <f t="shared" si="58"/>
        <v>7799.8</v>
      </c>
      <c r="I250" s="188">
        <f t="shared" si="58"/>
        <v>148194</v>
      </c>
      <c r="J250" s="189"/>
      <c r="K250" s="188">
        <f t="shared" si="58"/>
        <v>148194</v>
      </c>
      <c r="L250" s="172">
        <f t="shared" si="58"/>
        <v>155993.79999999999</v>
      </c>
      <c r="M250" s="172">
        <f t="shared" si="58"/>
        <v>0</v>
      </c>
      <c r="N250" s="398">
        <f t="shared" si="58"/>
        <v>155993.79999999999</v>
      </c>
      <c r="O250" s="309">
        <v>155993.79999999999</v>
      </c>
      <c r="P250" s="319"/>
      <c r="Q250" s="303"/>
      <c r="R250" s="401">
        <f t="shared" si="52"/>
        <v>100</v>
      </c>
    </row>
    <row r="251" spans="1:18" ht="47.25" x14ac:dyDescent="0.2">
      <c r="A251" s="42"/>
      <c r="B251" s="168" t="s">
        <v>131</v>
      </c>
      <c r="C251" s="169" t="s">
        <v>246</v>
      </c>
      <c r="D251" s="170" t="s">
        <v>132</v>
      </c>
      <c r="E251" s="171"/>
      <c r="F251" s="172">
        <v>7799.8</v>
      </c>
      <c r="G251" s="172"/>
      <c r="H251" s="172">
        <f>SUM(F251)</f>
        <v>7799.8</v>
      </c>
      <c r="I251" s="188">
        <v>148194</v>
      </c>
      <c r="J251" s="189"/>
      <c r="K251" s="188">
        <f>SUM(I251)</f>
        <v>148194</v>
      </c>
      <c r="L251" s="172">
        <f>SUM(F251+I251)</f>
        <v>155993.79999999999</v>
      </c>
      <c r="M251" s="172">
        <f>SUM(G251)+J251</f>
        <v>0</v>
      </c>
      <c r="N251" s="398">
        <f>SUM(H251+K251)</f>
        <v>155993.79999999999</v>
      </c>
      <c r="O251" s="309">
        <v>155993.79999999999</v>
      </c>
      <c r="P251" s="319"/>
      <c r="Q251" s="303"/>
      <c r="R251" s="401">
        <f t="shared" si="52"/>
        <v>100</v>
      </c>
    </row>
    <row r="252" spans="1:18" ht="157.5" x14ac:dyDescent="0.2">
      <c r="A252" s="42"/>
      <c r="B252" s="198" t="s">
        <v>479</v>
      </c>
      <c r="C252" s="169" t="s">
        <v>461</v>
      </c>
      <c r="D252" s="170"/>
      <c r="E252" s="171"/>
      <c r="F252" s="172">
        <v>3422.6</v>
      </c>
      <c r="G252" s="172">
        <f>G253</f>
        <v>0</v>
      </c>
      <c r="H252" s="172">
        <f>SUM(F252:G252)</f>
        <v>3422.6</v>
      </c>
      <c r="I252" s="188"/>
      <c r="J252" s="189"/>
      <c r="K252" s="188"/>
      <c r="L252" s="172">
        <f>L253</f>
        <v>3422.6</v>
      </c>
      <c r="M252" s="172">
        <f>M253</f>
        <v>0</v>
      </c>
      <c r="N252" s="398">
        <f>N253</f>
        <v>3422.6</v>
      </c>
      <c r="O252" s="394">
        <v>0</v>
      </c>
      <c r="P252" s="320"/>
      <c r="Q252" s="303"/>
      <c r="R252" s="401">
        <f t="shared" si="52"/>
        <v>0</v>
      </c>
    </row>
    <row r="253" spans="1:18" ht="47.25" x14ac:dyDescent="0.2">
      <c r="A253" s="42"/>
      <c r="B253" s="168" t="s">
        <v>131</v>
      </c>
      <c r="C253" s="169" t="s">
        <v>461</v>
      </c>
      <c r="D253" s="170" t="s">
        <v>132</v>
      </c>
      <c r="E253" s="171"/>
      <c r="F253" s="172">
        <v>3422.6</v>
      </c>
      <c r="G253" s="172"/>
      <c r="H253" s="172">
        <f>SUM(F253:G253)</f>
        <v>3422.6</v>
      </c>
      <c r="I253" s="188"/>
      <c r="J253" s="189"/>
      <c r="K253" s="188"/>
      <c r="L253" s="172">
        <f>SUM(F253)</f>
        <v>3422.6</v>
      </c>
      <c r="M253" s="172">
        <f>SUM(G253)</f>
        <v>0</v>
      </c>
      <c r="N253" s="398">
        <f>SUM(L253:M253)</f>
        <v>3422.6</v>
      </c>
      <c r="O253" s="394">
        <v>0</v>
      </c>
      <c r="P253" s="320"/>
      <c r="Q253" s="303"/>
      <c r="R253" s="401">
        <f t="shared" si="52"/>
        <v>0</v>
      </c>
    </row>
    <row r="254" spans="1:18" ht="47.25" x14ac:dyDescent="0.2">
      <c r="A254" s="42" t="s">
        <v>247</v>
      </c>
      <c r="B254" s="168" t="s">
        <v>248</v>
      </c>
      <c r="C254" s="169" t="s">
        <v>249</v>
      </c>
      <c r="D254" s="170" t="s">
        <v>26</v>
      </c>
      <c r="E254" s="171"/>
      <c r="F254" s="172">
        <f t="shared" ref="F254:O254" si="59">F255+F259</f>
        <v>5761.9</v>
      </c>
      <c r="G254" s="172">
        <f t="shared" si="59"/>
        <v>0</v>
      </c>
      <c r="H254" s="172">
        <f t="shared" si="59"/>
        <v>5761.9</v>
      </c>
      <c r="I254" s="188">
        <f t="shared" si="59"/>
        <v>0</v>
      </c>
      <c r="J254" s="172">
        <f t="shared" si="59"/>
        <v>0</v>
      </c>
      <c r="K254" s="188">
        <f t="shared" si="59"/>
        <v>0</v>
      </c>
      <c r="L254" s="172">
        <f t="shared" si="59"/>
        <v>5761.9</v>
      </c>
      <c r="M254" s="172">
        <f t="shared" si="59"/>
        <v>0</v>
      </c>
      <c r="N254" s="398">
        <f t="shared" si="59"/>
        <v>5761.9</v>
      </c>
      <c r="O254" s="395">
        <f t="shared" si="59"/>
        <v>5368</v>
      </c>
      <c r="P254" s="315"/>
      <c r="Q254" s="303"/>
      <c r="R254" s="401">
        <f t="shared" si="52"/>
        <v>93.163713358440802</v>
      </c>
    </row>
    <row r="255" spans="1:18" ht="31.5" x14ac:dyDescent="0.2">
      <c r="A255" s="368"/>
      <c r="B255" s="206" t="s">
        <v>250</v>
      </c>
      <c r="C255" s="207" t="s">
        <v>251</v>
      </c>
      <c r="D255" s="208" t="s">
        <v>26</v>
      </c>
      <c r="E255" s="209"/>
      <c r="F255" s="210">
        <f t="shared" ref="F255:O257" si="60">F256</f>
        <v>3500</v>
      </c>
      <c r="G255" s="210">
        <f t="shared" si="60"/>
        <v>0</v>
      </c>
      <c r="H255" s="210">
        <f t="shared" si="60"/>
        <v>3500</v>
      </c>
      <c r="I255" s="211">
        <f t="shared" si="60"/>
        <v>0</v>
      </c>
      <c r="J255" s="210">
        <f>J256</f>
        <v>0</v>
      </c>
      <c r="K255" s="211">
        <f t="shared" si="60"/>
        <v>0</v>
      </c>
      <c r="L255" s="210">
        <f t="shared" si="60"/>
        <v>3500</v>
      </c>
      <c r="M255" s="210">
        <f t="shared" si="60"/>
        <v>0</v>
      </c>
      <c r="N255" s="398">
        <f t="shared" si="60"/>
        <v>3500</v>
      </c>
      <c r="O255" s="395">
        <f t="shared" si="60"/>
        <v>3107</v>
      </c>
      <c r="P255" s="326"/>
      <c r="Q255" s="367"/>
      <c r="R255" s="401">
        <f t="shared" si="52"/>
        <v>88.771428571428572</v>
      </c>
    </row>
    <row r="256" spans="1:18" ht="63" x14ac:dyDescent="0.2">
      <c r="A256" s="42"/>
      <c r="B256" s="168" t="s">
        <v>252</v>
      </c>
      <c r="C256" s="169" t="s">
        <v>253</v>
      </c>
      <c r="D256" s="170" t="s">
        <v>26</v>
      </c>
      <c r="E256" s="171"/>
      <c r="F256" s="172">
        <f t="shared" si="60"/>
        <v>3500</v>
      </c>
      <c r="G256" s="172">
        <f t="shared" si="60"/>
        <v>0</v>
      </c>
      <c r="H256" s="172">
        <f t="shared" si="60"/>
        <v>3500</v>
      </c>
      <c r="I256" s="188">
        <f t="shared" si="60"/>
        <v>0</v>
      </c>
      <c r="J256" s="189"/>
      <c r="K256" s="188">
        <f t="shared" si="60"/>
        <v>0</v>
      </c>
      <c r="L256" s="172">
        <f t="shared" si="60"/>
        <v>3500</v>
      </c>
      <c r="M256" s="172">
        <f t="shared" si="60"/>
        <v>0</v>
      </c>
      <c r="N256" s="398">
        <f t="shared" si="60"/>
        <v>3500</v>
      </c>
      <c r="O256" s="395">
        <f t="shared" si="60"/>
        <v>3107</v>
      </c>
      <c r="P256" s="315"/>
      <c r="Q256" s="367"/>
      <c r="R256" s="401">
        <f t="shared" si="52"/>
        <v>88.771428571428572</v>
      </c>
    </row>
    <row r="257" spans="1:19" ht="63" x14ac:dyDescent="0.2">
      <c r="A257" s="42"/>
      <c r="B257" s="168" t="s">
        <v>254</v>
      </c>
      <c r="C257" s="169" t="s">
        <v>255</v>
      </c>
      <c r="D257" s="170" t="s">
        <v>26</v>
      </c>
      <c r="E257" s="171"/>
      <c r="F257" s="172">
        <f t="shared" si="60"/>
        <v>3500</v>
      </c>
      <c r="G257" s="172">
        <f t="shared" si="60"/>
        <v>0</v>
      </c>
      <c r="H257" s="172">
        <f t="shared" si="60"/>
        <v>3500</v>
      </c>
      <c r="I257" s="188">
        <f t="shared" si="60"/>
        <v>0</v>
      </c>
      <c r="J257" s="189"/>
      <c r="K257" s="188">
        <f t="shared" si="60"/>
        <v>0</v>
      </c>
      <c r="L257" s="172">
        <f t="shared" si="60"/>
        <v>3500</v>
      </c>
      <c r="M257" s="172">
        <f t="shared" si="60"/>
        <v>0</v>
      </c>
      <c r="N257" s="398">
        <f t="shared" si="60"/>
        <v>3500</v>
      </c>
      <c r="O257" s="395">
        <f t="shared" si="60"/>
        <v>3107</v>
      </c>
      <c r="P257" s="315"/>
      <c r="Q257" s="367"/>
      <c r="R257" s="401">
        <f t="shared" si="52"/>
        <v>88.771428571428572</v>
      </c>
    </row>
    <row r="258" spans="1:19" ht="63" x14ac:dyDescent="0.2">
      <c r="A258" s="42"/>
      <c r="B258" s="168" t="s">
        <v>35</v>
      </c>
      <c r="C258" s="169" t="s">
        <v>255</v>
      </c>
      <c r="D258" s="170" t="s">
        <v>36</v>
      </c>
      <c r="E258" s="171"/>
      <c r="F258" s="172">
        <v>3500</v>
      </c>
      <c r="G258" s="172"/>
      <c r="H258" s="172">
        <v>3500</v>
      </c>
      <c r="I258" s="188">
        <v>0</v>
      </c>
      <c r="J258" s="189"/>
      <c r="K258" s="188">
        <v>0</v>
      </c>
      <c r="L258" s="172">
        <v>3500</v>
      </c>
      <c r="M258" s="172"/>
      <c r="N258" s="304">
        <v>3500</v>
      </c>
      <c r="O258" s="309">
        <v>3107</v>
      </c>
      <c r="P258" s="319"/>
      <c r="Q258" s="303"/>
      <c r="R258" s="401">
        <f t="shared" si="52"/>
        <v>88.771428571428572</v>
      </c>
    </row>
    <row r="259" spans="1:19" ht="18.75" x14ac:dyDescent="0.2">
      <c r="A259" s="368"/>
      <c r="B259" s="206" t="s">
        <v>256</v>
      </c>
      <c r="C259" s="207" t="s">
        <v>257</v>
      </c>
      <c r="D259" s="208" t="s">
        <v>26</v>
      </c>
      <c r="E259" s="209"/>
      <c r="F259" s="210">
        <f t="shared" ref="F259:O261" si="61">F260</f>
        <v>2261.9</v>
      </c>
      <c r="G259" s="210">
        <f t="shared" si="61"/>
        <v>0</v>
      </c>
      <c r="H259" s="210">
        <f t="shared" si="61"/>
        <v>2261.9</v>
      </c>
      <c r="I259" s="211">
        <f t="shared" si="61"/>
        <v>0</v>
      </c>
      <c r="J259" s="210">
        <f>J260</f>
        <v>0</v>
      </c>
      <c r="K259" s="211">
        <f t="shared" si="61"/>
        <v>0</v>
      </c>
      <c r="L259" s="210">
        <f t="shared" si="61"/>
        <v>2261.9</v>
      </c>
      <c r="M259" s="210">
        <f t="shared" si="61"/>
        <v>0</v>
      </c>
      <c r="N259" s="395">
        <f t="shared" si="61"/>
        <v>2261.9</v>
      </c>
      <c r="O259" s="395">
        <f t="shared" si="61"/>
        <v>2261</v>
      </c>
      <c r="P259" s="326"/>
      <c r="Q259" s="367"/>
      <c r="R259" s="401">
        <f t="shared" si="52"/>
        <v>99.960210442548288</v>
      </c>
    </row>
    <row r="260" spans="1:19" ht="63" x14ac:dyDescent="0.2">
      <c r="A260" s="42"/>
      <c r="B260" s="168" t="s">
        <v>258</v>
      </c>
      <c r="C260" s="169" t="s">
        <v>259</v>
      </c>
      <c r="D260" s="170" t="s">
        <v>26</v>
      </c>
      <c r="E260" s="171"/>
      <c r="F260" s="172">
        <f t="shared" si="61"/>
        <v>2261.9</v>
      </c>
      <c r="G260" s="172">
        <f t="shared" si="61"/>
        <v>0</v>
      </c>
      <c r="H260" s="172">
        <f t="shared" si="61"/>
        <v>2261.9</v>
      </c>
      <c r="I260" s="188">
        <f t="shared" si="61"/>
        <v>0</v>
      </c>
      <c r="J260" s="189"/>
      <c r="K260" s="188">
        <f t="shared" si="61"/>
        <v>0</v>
      </c>
      <c r="L260" s="172">
        <f t="shared" si="61"/>
        <v>2261.9</v>
      </c>
      <c r="M260" s="172">
        <f t="shared" si="61"/>
        <v>0</v>
      </c>
      <c r="N260" s="395">
        <f t="shared" si="61"/>
        <v>2261.9</v>
      </c>
      <c r="O260" s="395">
        <f t="shared" si="61"/>
        <v>2261</v>
      </c>
      <c r="P260" s="315"/>
      <c r="Q260" s="367"/>
      <c r="R260" s="401">
        <f t="shared" si="52"/>
        <v>99.960210442548288</v>
      </c>
    </row>
    <row r="261" spans="1:19" ht="63" x14ac:dyDescent="0.2">
      <c r="A261" s="42"/>
      <c r="B261" s="168" t="s">
        <v>254</v>
      </c>
      <c r="C261" s="169" t="s">
        <v>260</v>
      </c>
      <c r="D261" s="170" t="s">
        <v>26</v>
      </c>
      <c r="E261" s="171"/>
      <c r="F261" s="172">
        <f t="shared" si="61"/>
        <v>2261.9</v>
      </c>
      <c r="G261" s="172">
        <f t="shared" si="61"/>
        <v>0</v>
      </c>
      <c r="H261" s="172">
        <f t="shared" si="61"/>
        <v>2261.9</v>
      </c>
      <c r="I261" s="188">
        <f t="shared" si="61"/>
        <v>0</v>
      </c>
      <c r="J261" s="189"/>
      <c r="K261" s="188">
        <f t="shared" si="61"/>
        <v>0</v>
      </c>
      <c r="L261" s="172">
        <f t="shared" si="61"/>
        <v>2261.9</v>
      </c>
      <c r="M261" s="172">
        <f t="shared" si="61"/>
        <v>0</v>
      </c>
      <c r="N261" s="395">
        <f t="shared" si="61"/>
        <v>2261.9</v>
      </c>
      <c r="O261" s="395">
        <f t="shared" si="61"/>
        <v>2261</v>
      </c>
      <c r="P261" s="315"/>
      <c r="Q261" s="367"/>
      <c r="R261" s="401">
        <f t="shared" si="52"/>
        <v>99.960210442548288</v>
      </c>
    </row>
    <row r="262" spans="1:19" ht="110.25" x14ac:dyDescent="0.2">
      <c r="A262" s="42"/>
      <c r="B262" s="168" t="s">
        <v>261</v>
      </c>
      <c r="C262" s="169" t="s">
        <v>260</v>
      </c>
      <c r="D262" s="170" t="s">
        <v>36</v>
      </c>
      <c r="E262" s="171"/>
      <c r="F262" s="172">
        <v>2261.9</v>
      </c>
      <c r="G262" s="172"/>
      <c r="H262" s="172">
        <f>SUM(F262)+G262</f>
        <v>2261.9</v>
      </c>
      <c r="I262" s="188">
        <v>0</v>
      </c>
      <c r="J262" s="189"/>
      <c r="K262" s="188">
        <v>0</v>
      </c>
      <c r="L262" s="172">
        <f>SUM(F262)</f>
        <v>2261.9</v>
      </c>
      <c r="M262" s="172">
        <f>SUM(G262)</f>
        <v>0</v>
      </c>
      <c r="N262" s="395">
        <f>SUM(H262)</f>
        <v>2261.9</v>
      </c>
      <c r="O262" s="311">
        <v>2261</v>
      </c>
      <c r="P262" s="322"/>
      <c r="Q262" s="367"/>
      <c r="R262" s="401">
        <f t="shared" si="52"/>
        <v>99.960210442548288</v>
      </c>
    </row>
    <row r="263" spans="1:19" ht="47.25" x14ac:dyDescent="0.2">
      <c r="A263" s="42" t="s">
        <v>262</v>
      </c>
      <c r="B263" s="168" t="s">
        <v>263</v>
      </c>
      <c r="C263" s="169" t="s">
        <v>264</v>
      </c>
      <c r="D263" s="170" t="s">
        <v>26</v>
      </c>
      <c r="E263" s="171"/>
      <c r="F263" s="172">
        <f t="shared" ref="F263:O263" si="62">F264+F286+F290+F296+F300</f>
        <v>47921.8</v>
      </c>
      <c r="G263" s="172">
        <f>G264+G286+G290+G296+G300</f>
        <v>0</v>
      </c>
      <c r="H263" s="172">
        <f t="shared" si="62"/>
        <v>47921.8</v>
      </c>
      <c r="I263" s="188">
        <f t="shared" si="62"/>
        <v>0</v>
      </c>
      <c r="J263" s="172">
        <f t="shared" si="62"/>
        <v>0</v>
      </c>
      <c r="K263" s="188">
        <f t="shared" si="62"/>
        <v>0</v>
      </c>
      <c r="L263" s="172">
        <f t="shared" si="62"/>
        <v>47921.8</v>
      </c>
      <c r="M263" s="172">
        <f>M264+M286+M290+M296+M300</f>
        <v>0</v>
      </c>
      <c r="N263" s="395">
        <f t="shared" si="62"/>
        <v>47921.899999999994</v>
      </c>
      <c r="O263" s="395">
        <f t="shared" si="62"/>
        <v>47535.4</v>
      </c>
      <c r="P263" s="321"/>
      <c r="Q263" s="48"/>
      <c r="R263" s="401">
        <f t="shared" si="52"/>
        <v>99.193479390424855</v>
      </c>
      <c r="S263" s="280"/>
    </row>
    <row r="264" spans="1:19" ht="49.9" customHeight="1" x14ac:dyDescent="0.2">
      <c r="A264" s="368"/>
      <c r="B264" s="206" t="s">
        <v>265</v>
      </c>
      <c r="C264" s="207" t="s">
        <v>266</v>
      </c>
      <c r="D264" s="208" t="s">
        <v>26</v>
      </c>
      <c r="E264" s="209"/>
      <c r="F264" s="210">
        <f t="shared" ref="F264:O264" si="63">F265+F276+F279</f>
        <v>36647.800000000003</v>
      </c>
      <c r="G264" s="210">
        <f>G265+G276+G279</f>
        <v>0</v>
      </c>
      <c r="H264" s="210">
        <f t="shared" si="63"/>
        <v>36647.800000000003</v>
      </c>
      <c r="I264" s="211">
        <f t="shared" si="63"/>
        <v>0</v>
      </c>
      <c r="J264" s="210">
        <f t="shared" si="63"/>
        <v>0</v>
      </c>
      <c r="K264" s="211">
        <f t="shared" si="63"/>
        <v>0</v>
      </c>
      <c r="L264" s="210">
        <f t="shared" si="63"/>
        <v>36647.800000000003</v>
      </c>
      <c r="M264" s="210">
        <f t="shared" si="63"/>
        <v>0</v>
      </c>
      <c r="N264" s="397">
        <f t="shared" si="63"/>
        <v>36647.9</v>
      </c>
      <c r="O264" s="397">
        <f t="shared" si="63"/>
        <v>36417.5</v>
      </c>
      <c r="P264" s="376"/>
      <c r="Q264" s="371"/>
      <c r="R264" s="401">
        <f t="shared" si="52"/>
        <v>99.371314591013387</v>
      </c>
    </row>
    <row r="265" spans="1:19" ht="50.45" customHeight="1" x14ac:dyDescent="0.2">
      <c r="A265" s="42"/>
      <c r="B265" s="168" t="s">
        <v>267</v>
      </c>
      <c r="C265" s="169" t="s">
        <v>268</v>
      </c>
      <c r="D265" s="170" t="s">
        <v>26</v>
      </c>
      <c r="E265" s="171"/>
      <c r="F265" s="172">
        <f>F266+F270+F274+F272</f>
        <v>19721</v>
      </c>
      <c r="G265" s="172">
        <f>G266+G270+G274+G272</f>
        <v>0</v>
      </c>
      <c r="H265" s="172">
        <f>H266+H270+H274+H272</f>
        <v>19721</v>
      </c>
      <c r="I265" s="188">
        <f>I266+I270+I274</f>
        <v>0</v>
      </c>
      <c r="J265" s="189"/>
      <c r="K265" s="188">
        <f>K266+K270+K274</f>
        <v>0</v>
      </c>
      <c r="L265" s="172">
        <f>L266+L270+L274+L272</f>
        <v>19721</v>
      </c>
      <c r="M265" s="172">
        <f>M266+M270+M274+M272</f>
        <v>0</v>
      </c>
      <c r="N265" s="395">
        <f>N266+N270+N274+N272</f>
        <v>19721.100000000002</v>
      </c>
      <c r="O265" s="395">
        <f>O266+O270+O274+O272</f>
        <v>19490.7</v>
      </c>
      <c r="P265" s="315"/>
      <c r="Q265" s="48"/>
      <c r="R265" s="401">
        <f t="shared" si="52"/>
        <v>98.831708170436741</v>
      </c>
    </row>
    <row r="266" spans="1:19" ht="47.25" x14ac:dyDescent="0.2">
      <c r="A266" s="42"/>
      <c r="B266" s="168" t="s">
        <v>39</v>
      </c>
      <c r="C266" s="169" t="s">
        <v>269</v>
      </c>
      <c r="D266" s="170" t="s">
        <v>26</v>
      </c>
      <c r="E266" s="171"/>
      <c r="F266" s="172">
        <f>F267+F268+F269</f>
        <v>11968.5</v>
      </c>
      <c r="G266" s="172">
        <f>SUM(G268)+G267</f>
        <v>0</v>
      </c>
      <c r="H266" s="172">
        <f>H267+H268+H269</f>
        <v>11968.5</v>
      </c>
      <c r="I266" s="188">
        <f>I267+I268+I269</f>
        <v>0</v>
      </c>
      <c r="J266" s="189"/>
      <c r="K266" s="188">
        <f>K267+K268+K269</f>
        <v>0</v>
      </c>
      <c r="L266" s="172">
        <f>L267+L268+L269</f>
        <v>11968.5</v>
      </c>
      <c r="M266" s="172">
        <f>SUM(G266)</f>
        <v>0</v>
      </c>
      <c r="N266" s="395">
        <f>N267+N268+N269</f>
        <v>11968.6</v>
      </c>
      <c r="O266" s="395">
        <f>O267+O268+O269</f>
        <v>11809.800000000001</v>
      </c>
      <c r="P266" s="315"/>
      <c r="Q266" s="367"/>
      <c r="R266" s="401">
        <f t="shared" si="52"/>
        <v>98.673194859883367</v>
      </c>
    </row>
    <row r="267" spans="1:19" ht="64.900000000000006" customHeight="1" x14ac:dyDescent="0.2">
      <c r="A267" s="42"/>
      <c r="B267" s="168" t="s">
        <v>31</v>
      </c>
      <c r="C267" s="169" t="s">
        <v>269</v>
      </c>
      <c r="D267" s="170" t="s">
        <v>32</v>
      </c>
      <c r="E267" s="171"/>
      <c r="F267" s="172">
        <v>10420.200000000001</v>
      </c>
      <c r="G267" s="172"/>
      <c r="H267" s="172">
        <f>SUM(F267)</f>
        <v>10420.200000000001</v>
      </c>
      <c r="I267" s="188">
        <v>0</v>
      </c>
      <c r="J267" s="189"/>
      <c r="K267" s="188">
        <v>0</v>
      </c>
      <c r="L267" s="172">
        <f t="shared" ref="L267:N268" si="64">SUM(F267)</f>
        <v>10420.200000000001</v>
      </c>
      <c r="M267" s="172">
        <f t="shared" si="64"/>
        <v>0</v>
      </c>
      <c r="N267" s="395">
        <f t="shared" si="64"/>
        <v>10420.200000000001</v>
      </c>
      <c r="O267" s="309">
        <v>10359.700000000001</v>
      </c>
      <c r="P267" s="319"/>
      <c r="Q267" s="303"/>
      <c r="R267" s="401">
        <f t="shared" si="52"/>
        <v>99.41939694055776</v>
      </c>
    </row>
    <row r="268" spans="1:19" ht="63" x14ac:dyDescent="0.2">
      <c r="A268" s="42"/>
      <c r="B268" s="168" t="s">
        <v>35</v>
      </c>
      <c r="C268" s="169" t="s">
        <v>269</v>
      </c>
      <c r="D268" s="170" t="s">
        <v>36</v>
      </c>
      <c r="E268" s="171"/>
      <c r="F268" s="172">
        <v>1525.3</v>
      </c>
      <c r="G268" s="172"/>
      <c r="H268" s="172">
        <v>1525.3</v>
      </c>
      <c r="I268" s="188">
        <v>0</v>
      </c>
      <c r="J268" s="189"/>
      <c r="K268" s="188">
        <v>0</v>
      </c>
      <c r="L268" s="172">
        <f t="shared" si="64"/>
        <v>1525.3</v>
      </c>
      <c r="M268" s="172">
        <f t="shared" si="64"/>
        <v>0</v>
      </c>
      <c r="N268" s="395">
        <v>1525.4</v>
      </c>
      <c r="O268" s="309">
        <v>1438.6</v>
      </c>
      <c r="P268" s="319"/>
      <c r="Q268" s="303"/>
      <c r="R268" s="401">
        <f t="shared" si="52"/>
        <v>94.309689261832958</v>
      </c>
    </row>
    <row r="269" spans="1:19" ht="18.75" x14ac:dyDescent="0.2">
      <c r="A269" s="42"/>
      <c r="B269" s="168" t="s">
        <v>41</v>
      </c>
      <c r="C269" s="169" t="s">
        <v>269</v>
      </c>
      <c r="D269" s="170" t="s">
        <v>42</v>
      </c>
      <c r="E269" s="171"/>
      <c r="F269" s="172">
        <v>23</v>
      </c>
      <c r="G269" s="172"/>
      <c r="H269" s="172">
        <v>23</v>
      </c>
      <c r="I269" s="188">
        <v>0</v>
      </c>
      <c r="J269" s="189"/>
      <c r="K269" s="188">
        <v>0</v>
      </c>
      <c r="L269" s="172">
        <v>23</v>
      </c>
      <c r="M269" s="172"/>
      <c r="N269" s="395">
        <v>23</v>
      </c>
      <c r="O269" s="309">
        <v>11.5</v>
      </c>
      <c r="P269" s="319"/>
      <c r="Q269" s="303"/>
      <c r="R269" s="401">
        <f t="shared" si="52"/>
        <v>50</v>
      </c>
    </row>
    <row r="270" spans="1:19" ht="48.6" customHeight="1" x14ac:dyDescent="0.2">
      <c r="A270" s="42"/>
      <c r="B270" s="168" t="s">
        <v>270</v>
      </c>
      <c r="C270" s="169" t="s">
        <v>271</v>
      </c>
      <c r="D270" s="170" t="s">
        <v>26</v>
      </c>
      <c r="E270" s="171"/>
      <c r="F270" s="172">
        <f>F271</f>
        <v>5667.6</v>
      </c>
      <c r="G270" s="172">
        <f>G271</f>
        <v>0</v>
      </c>
      <c r="H270" s="172">
        <f>H271</f>
        <v>5667.6</v>
      </c>
      <c r="I270" s="188">
        <f>I271</f>
        <v>0</v>
      </c>
      <c r="J270" s="189"/>
      <c r="K270" s="188">
        <f>K271</f>
        <v>0</v>
      </c>
      <c r="L270" s="172">
        <f>L271</f>
        <v>5667.6</v>
      </c>
      <c r="M270" s="172">
        <f>M271</f>
        <v>0</v>
      </c>
      <c r="N270" s="395">
        <f>N271</f>
        <v>5667.6</v>
      </c>
      <c r="O270" s="395">
        <f>O271</f>
        <v>5666.7</v>
      </c>
      <c r="P270" s="315"/>
      <c r="Q270" s="367"/>
      <c r="R270" s="401">
        <f t="shared" si="52"/>
        <v>99.984120262544991</v>
      </c>
    </row>
    <row r="271" spans="1:19" ht="63" x14ac:dyDescent="0.2">
      <c r="A271" s="42"/>
      <c r="B271" s="168" t="s">
        <v>35</v>
      </c>
      <c r="C271" s="169" t="s">
        <v>271</v>
      </c>
      <c r="D271" s="170" t="s">
        <v>36</v>
      </c>
      <c r="E271" s="171"/>
      <c r="F271" s="172">
        <v>5667.6</v>
      </c>
      <c r="G271" s="172"/>
      <c r="H271" s="172">
        <f>SUM(F271)+G271</f>
        <v>5667.6</v>
      </c>
      <c r="I271" s="188">
        <v>0</v>
      </c>
      <c r="J271" s="189"/>
      <c r="K271" s="188">
        <v>0</v>
      </c>
      <c r="L271" s="172">
        <f t="shared" ref="L271:N273" si="65">SUM(F271)</f>
        <v>5667.6</v>
      </c>
      <c r="M271" s="172">
        <f t="shared" si="65"/>
        <v>0</v>
      </c>
      <c r="N271" s="395">
        <f t="shared" si="65"/>
        <v>5667.6</v>
      </c>
      <c r="O271" s="309">
        <v>5666.7</v>
      </c>
      <c r="P271" s="319"/>
      <c r="Q271" s="303"/>
      <c r="R271" s="401">
        <f t="shared" si="52"/>
        <v>99.984120262544991</v>
      </c>
    </row>
    <row r="272" spans="1:19" ht="28.5" customHeight="1" x14ac:dyDescent="0.2">
      <c r="A272" s="42"/>
      <c r="B272" s="213" t="s">
        <v>456</v>
      </c>
      <c r="C272" s="169" t="s">
        <v>455</v>
      </c>
      <c r="D272" s="170"/>
      <c r="E272" s="171"/>
      <c r="F272" s="172">
        <v>1084.9000000000001</v>
      </c>
      <c r="G272" s="172">
        <f>G273</f>
        <v>0</v>
      </c>
      <c r="H272" s="172">
        <f>F272+G272</f>
        <v>1084.9000000000001</v>
      </c>
      <c r="I272" s="188"/>
      <c r="J272" s="189"/>
      <c r="K272" s="188"/>
      <c r="L272" s="172">
        <f t="shared" si="65"/>
        <v>1084.9000000000001</v>
      </c>
      <c r="M272" s="172">
        <f t="shared" si="65"/>
        <v>0</v>
      </c>
      <c r="N272" s="395">
        <f t="shared" si="65"/>
        <v>1084.9000000000001</v>
      </c>
      <c r="O272" s="309">
        <v>1084.9000000000001</v>
      </c>
      <c r="P272" s="319"/>
      <c r="Q272" s="303"/>
      <c r="R272" s="401">
        <f t="shared" si="52"/>
        <v>100</v>
      </c>
    </row>
    <row r="273" spans="1:18" ht="63" x14ac:dyDescent="0.2">
      <c r="A273" s="42"/>
      <c r="B273" s="168" t="s">
        <v>35</v>
      </c>
      <c r="C273" s="169" t="s">
        <v>455</v>
      </c>
      <c r="D273" s="170" t="s">
        <v>36</v>
      </c>
      <c r="E273" s="171"/>
      <c r="F273" s="172">
        <v>1084.9000000000001</v>
      </c>
      <c r="G273" s="172"/>
      <c r="H273" s="172">
        <f>F273+G273</f>
        <v>1084.9000000000001</v>
      </c>
      <c r="I273" s="188"/>
      <c r="J273" s="189"/>
      <c r="K273" s="188"/>
      <c r="L273" s="172">
        <f t="shared" si="65"/>
        <v>1084.9000000000001</v>
      </c>
      <c r="M273" s="172">
        <f t="shared" si="65"/>
        <v>0</v>
      </c>
      <c r="N273" s="395">
        <f t="shared" si="65"/>
        <v>1084.9000000000001</v>
      </c>
      <c r="O273" s="309">
        <v>1084.9000000000001</v>
      </c>
      <c r="P273" s="319"/>
      <c r="Q273" s="303"/>
      <c r="R273" s="401">
        <f t="shared" si="52"/>
        <v>100</v>
      </c>
    </row>
    <row r="274" spans="1:18" ht="94.5" x14ac:dyDescent="0.2">
      <c r="A274" s="42"/>
      <c r="B274" s="168" t="s">
        <v>272</v>
      </c>
      <c r="C274" s="169" t="s">
        <v>273</v>
      </c>
      <c r="D274" s="170" t="s">
        <v>26</v>
      </c>
      <c r="E274" s="171"/>
      <c r="F274" s="172">
        <f>F275</f>
        <v>1000</v>
      </c>
      <c r="G274" s="172">
        <f>G275</f>
        <v>0</v>
      </c>
      <c r="H274" s="172">
        <f>H275</f>
        <v>1000</v>
      </c>
      <c r="I274" s="188">
        <f>I275</f>
        <v>0</v>
      </c>
      <c r="J274" s="189"/>
      <c r="K274" s="188">
        <f>K275</f>
        <v>0</v>
      </c>
      <c r="L274" s="172">
        <f>L275</f>
        <v>1000</v>
      </c>
      <c r="M274" s="172">
        <f>M275</f>
        <v>0</v>
      </c>
      <c r="N274" s="395">
        <f>N275</f>
        <v>1000</v>
      </c>
      <c r="O274" s="309">
        <v>929.3</v>
      </c>
      <c r="P274" s="327"/>
      <c r="Q274" s="303"/>
      <c r="R274" s="401">
        <f t="shared" si="52"/>
        <v>92.929999999999993</v>
      </c>
    </row>
    <row r="275" spans="1:18" ht="63" x14ac:dyDescent="0.2">
      <c r="A275" s="42"/>
      <c r="B275" s="168" t="s">
        <v>35</v>
      </c>
      <c r="C275" s="169" t="s">
        <v>273</v>
      </c>
      <c r="D275" s="170" t="s">
        <v>36</v>
      </c>
      <c r="E275" s="171"/>
      <c r="F275" s="172">
        <v>1000</v>
      </c>
      <c r="G275" s="172"/>
      <c r="H275" s="172">
        <v>1000</v>
      </c>
      <c r="I275" s="188">
        <v>0</v>
      </c>
      <c r="J275" s="189"/>
      <c r="K275" s="188">
        <v>0</v>
      </c>
      <c r="L275" s="172">
        <v>1000</v>
      </c>
      <c r="M275" s="172"/>
      <c r="N275" s="395">
        <v>1000</v>
      </c>
      <c r="O275" s="309">
        <v>929.3</v>
      </c>
      <c r="P275" s="319"/>
      <c r="Q275" s="303"/>
      <c r="R275" s="401">
        <f t="shared" si="52"/>
        <v>92.929999999999993</v>
      </c>
    </row>
    <row r="276" spans="1:18" ht="63" x14ac:dyDescent="0.2">
      <c r="A276" s="42"/>
      <c r="B276" s="168" t="s">
        <v>274</v>
      </c>
      <c r="C276" s="169" t="s">
        <v>275</v>
      </c>
      <c r="D276" s="170" t="s">
        <v>26</v>
      </c>
      <c r="E276" s="171"/>
      <c r="F276" s="172">
        <f t="shared" ref="F276:N277" si="66">F277</f>
        <v>15278.4</v>
      </c>
      <c r="G276" s="172">
        <f>G277</f>
        <v>0</v>
      </c>
      <c r="H276" s="172">
        <f t="shared" si="66"/>
        <v>15278.4</v>
      </c>
      <c r="I276" s="188">
        <f t="shared" si="66"/>
        <v>0</v>
      </c>
      <c r="J276" s="189"/>
      <c r="K276" s="188">
        <f t="shared" si="66"/>
        <v>0</v>
      </c>
      <c r="L276" s="172">
        <f t="shared" si="66"/>
        <v>15278.4</v>
      </c>
      <c r="M276" s="172">
        <f t="shared" si="66"/>
        <v>0</v>
      </c>
      <c r="N276" s="395">
        <f t="shared" si="66"/>
        <v>15278.4</v>
      </c>
      <c r="O276" s="309">
        <v>15278.4</v>
      </c>
      <c r="P276" s="327"/>
      <c r="Q276" s="303"/>
      <c r="R276" s="401">
        <f t="shared" si="52"/>
        <v>100</v>
      </c>
    </row>
    <row r="277" spans="1:18" ht="141.75" x14ac:dyDescent="0.2">
      <c r="A277" s="42"/>
      <c r="B277" s="168" t="s">
        <v>276</v>
      </c>
      <c r="C277" s="169" t="s">
        <v>277</v>
      </c>
      <c r="D277" s="170" t="s">
        <v>26</v>
      </c>
      <c r="E277" s="171"/>
      <c r="F277" s="172">
        <f t="shared" si="66"/>
        <v>15278.4</v>
      </c>
      <c r="G277" s="172">
        <f t="shared" si="66"/>
        <v>0</v>
      </c>
      <c r="H277" s="172">
        <f t="shared" si="66"/>
        <v>15278.4</v>
      </c>
      <c r="I277" s="188">
        <f t="shared" si="66"/>
        <v>0</v>
      </c>
      <c r="J277" s="189"/>
      <c r="K277" s="188">
        <f t="shared" si="66"/>
        <v>0</v>
      </c>
      <c r="L277" s="172">
        <f t="shared" si="66"/>
        <v>15278.4</v>
      </c>
      <c r="M277" s="172">
        <f t="shared" si="66"/>
        <v>0</v>
      </c>
      <c r="N277" s="395">
        <f t="shared" si="66"/>
        <v>15278.4</v>
      </c>
      <c r="O277" s="309">
        <v>15278.4</v>
      </c>
      <c r="P277" s="319"/>
      <c r="Q277" s="303"/>
      <c r="R277" s="401">
        <f t="shared" si="52"/>
        <v>100</v>
      </c>
    </row>
    <row r="278" spans="1:18" ht="18.75" x14ac:dyDescent="0.2">
      <c r="A278" s="42"/>
      <c r="B278" s="168" t="s">
        <v>278</v>
      </c>
      <c r="C278" s="169" t="s">
        <v>277</v>
      </c>
      <c r="D278" s="170" t="s">
        <v>279</v>
      </c>
      <c r="E278" s="171"/>
      <c r="F278" s="172">
        <v>15278.4</v>
      </c>
      <c r="G278" s="172"/>
      <c r="H278" s="172">
        <v>15278.4</v>
      </c>
      <c r="I278" s="188">
        <v>0</v>
      </c>
      <c r="J278" s="189"/>
      <c r="K278" s="188">
        <v>0</v>
      </c>
      <c r="L278" s="172">
        <f>SUM(F278)</f>
        <v>15278.4</v>
      </c>
      <c r="M278" s="172">
        <f>SUM(G278)</f>
        <v>0</v>
      </c>
      <c r="N278" s="395">
        <f>SUM(H278)</f>
        <v>15278.4</v>
      </c>
      <c r="O278" s="309">
        <v>15278.4</v>
      </c>
      <c r="P278" s="319"/>
      <c r="Q278" s="303"/>
      <c r="R278" s="401">
        <f t="shared" si="52"/>
        <v>100</v>
      </c>
    </row>
    <row r="279" spans="1:18" ht="78.75" x14ac:dyDescent="0.2">
      <c r="A279" s="42"/>
      <c r="B279" s="168" t="s">
        <v>280</v>
      </c>
      <c r="C279" s="169" t="s">
        <v>281</v>
      </c>
      <c r="D279" s="170" t="s">
        <v>26</v>
      </c>
      <c r="E279" s="171"/>
      <c r="F279" s="172">
        <f t="shared" ref="F279:N280" si="67">F280</f>
        <v>1648.4</v>
      </c>
      <c r="G279" s="172">
        <f t="shared" si="67"/>
        <v>0</v>
      </c>
      <c r="H279" s="172">
        <f t="shared" si="67"/>
        <v>1648.4</v>
      </c>
      <c r="I279" s="188">
        <f t="shared" si="67"/>
        <v>0</v>
      </c>
      <c r="J279" s="189"/>
      <c r="K279" s="188">
        <f t="shared" si="67"/>
        <v>0</v>
      </c>
      <c r="L279" s="172">
        <f t="shared" si="67"/>
        <v>1648.4</v>
      </c>
      <c r="M279" s="172">
        <f t="shared" si="67"/>
        <v>0</v>
      </c>
      <c r="N279" s="395">
        <f t="shared" si="67"/>
        <v>1648.4</v>
      </c>
      <c r="O279" s="309">
        <v>1648.4</v>
      </c>
      <c r="P279" s="319"/>
      <c r="Q279" s="303"/>
      <c r="R279" s="401">
        <f t="shared" si="52"/>
        <v>100</v>
      </c>
    </row>
    <row r="280" spans="1:18" ht="67.900000000000006" customHeight="1" x14ac:dyDescent="0.2">
      <c r="A280" s="42"/>
      <c r="B280" s="168" t="s">
        <v>282</v>
      </c>
      <c r="C280" s="169" t="s">
        <v>283</v>
      </c>
      <c r="D280" s="170" t="s">
        <v>26</v>
      </c>
      <c r="E280" s="171"/>
      <c r="F280" s="172">
        <f t="shared" si="67"/>
        <v>1648.4</v>
      </c>
      <c r="G280" s="172">
        <f t="shared" si="67"/>
        <v>0</v>
      </c>
      <c r="H280" s="172">
        <f t="shared" si="67"/>
        <v>1648.4</v>
      </c>
      <c r="I280" s="188">
        <f t="shared" si="67"/>
        <v>0</v>
      </c>
      <c r="J280" s="189"/>
      <c r="K280" s="188">
        <f t="shared" si="67"/>
        <v>0</v>
      </c>
      <c r="L280" s="172">
        <f t="shared" si="67"/>
        <v>1648.4</v>
      </c>
      <c r="M280" s="172">
        <f t="shared" si="67"/>
        <v>0</v>
      </c>
      <c r="N280" s="395">
        <f t="shared" si="67"/>
        <v>1648.4</v>
      </c>
      <c r="O280" s="309">
        <v>1648.4</v>
      </c>
      <c r="P280" s="319"/>
      <c r="Q280" s="303"/>
      <c r="R280" s="401">
        <f t="shared" si="52"/>
        <v>100</v>
      </c>
    </row>
    <row r="281" spans="1:18" ht="18.75" x14ac:dyDescent="0.2">
      <c r="A281" s="42"/>
      <c r="B281" s="168" t="s">
        <v>278</v>
      </c>
      <c r="C281" s="169" t="s">
        <v>283</v>
      </c>
      <c r="D281" s="170" t="s">
        <v>279</v>
      </c>
      <c r="E281" s="171"/>
      <c r="F281" s="172">
        <v>1648.4</v>
      </c>
      <c r="G281" s="172"/>
      <c r="H281" s="172">
        <v>1648.4</v>
      </c>
      <c r="I281" s="188">
        <v>0</v>
      </c>
      <c r="J281" s="189"/>
      <c r="K281" s="188">
        <v>0</v>
      </c>
      <c r="L281" s="172">
        <f>SUM(F281)</f>
        <v>1648.4</v>
      </c>
      <c r="M281" s="273">
        <f>SUM(G281)</f>
        <v>0</v>
      </c>
      <c r="N281" s="395">
        <f>SUM(H281)</f>
        <v>1648.4</v>
      </c>
      <c r="O281" s="309">
        <v>1648.4</v>
      </c>
      <c r="P281" s="319"/>
      <c r="Q281" s="303"/>
      <c r="R281" s="401">
        <f t="shared" si="52"/>
        <v>100</v>
      </c>
    </row>
    <row r="282" spans="1:18" ht="0.75" customHeight="1" x14ac:dyDescent="0.2">
      <c r="A282" s="42"/>
      <c r="B282" s="168" t="s">
        <v>448</v>
      </c>
      <c r="C282" s="169" t="s">
        <v>422</v>
      </c>
      <c r="D282" s="170"/>
      <c r="E282" s="171"/>
      <c r="F282" s="172"/>
      <c r="G282" s="172"/>
      <c r="H282" s="172">
        <f>SUM(G282)</f>
        <v>0</v>
      </c>
      <c r="I282" s="188"/>
      <c r="J282" s="189"/>
      <c r="K282" s="188"/>
      <c r="L282" s="172"/>
      <c r="M282" s="172">
        <f t="shared" ref="M282:N285" si="68">SUM(G282)</f>
        <v>0</v>
      </c>
      <c r="N282" s="395">
        <f t="shared" si="68"/>
        <v>0</v>
      </c>
      <c r="O282" s="308"/>
      <c r="P282" s="320"/>
      <c r="Q282" s="303"/>
      <c r="R282" s="401" t="e">
        <f t="shared" ref="R282:R345" si="69">SUM(O282/N282*100)</f>
        <v>#DIV/0!</v>
      </c>
    </row>
    <row r="283" spans="1:18" ht="31.5" hidden="1" x14ac:dyDescent="0.2">
      <c r="A283" s="42"/>
      <c r="B283" s="168" t="s">
        <v>432</v>
      </c>
      <c r="C283" s="169" t="s">
        <v>433</v>
      </c>
      <c r="D283" s="170"/>
      <c r="E283" s="171"/>
      <c r="F283" s="172"/>
      <c r="G283" s="172"/>
      <c r="H283" s="172">
        <f>SUM(G283)</f>
        <v>0</v>
      </c>
      <c r="I283" s="188"/>
      <c r="J283" s="189"/>
      <c r="K283" s="188"/>
      <c r="L283" s="172"/>
      <c r="M283" s="172">
        <f t="shared" si="68"/>
        <v>0</v>
      </c>
      <c r="N283" s="395">
        <f t="shared" si="68"/>
        <v>0</v>
      </c>
      <c r="O283" s="308"/>
      <c r="P283" s="320"/>
      <c r="Q283" s="303"/>
      <c r="R283" s="401" t="e">
        <f t="shared" si="69"/>
        <v>#DIV/0!</v>
      </c>
    </row>
    <row r="284" spans="1:18" ht="47.25" hidden="1" x14ac:dyDescent="0.2">
      <c r="A284" s="42"/>
      <c r="B284" s="168" t="s">
        <v>434</v>
      </c>
      <c r="C284" s="169" t="s">
        <v>435</v>
      </c>
      <c r="D284" s="170"/>
      <c r="E284" s="171"/>
      <c r="F284" s="172"/>
      <c r="G284" s="172"/>
      <c r="H284" s="172">
        <f>SUM(G284)</f>
        <v>0</v>
      </c>
      <c r="I284" s="188"/>
      <c r="J284" s="189"/>
      <c r="K284" s="188"/>
      <c r="L284" s="172"/>
      <c r="M284" s="172">
        <f t="shared" si="68"/>
        <v>0</v>
      </c>
      <c r="N284" s="395">
        <f t="shared" si="68"/>
        <v>0</v>
      </c>
      <c r="O284" s="308"/>
      <c r="P284" s="320"/>
      <c r="Q284" s="303"/>
      <c r="R284" s="401" t="e">
        <f t="shared" si="69"/>
        <v>#DIV/0!</v>
      </c>
    </row>
    <row r="285" spans="1:18" ht="63" hidden="1" x14ac:dyDescent="0.2">
      <c r="A285" s="42"/>
      <c r="B285" s="168" t="s">
        <v>35</v>
      </c>
      <c r="C285" s="169" t="s">
        <v>435</v>
      </c>
      <c r="D285" s="170" t="s">
        <v>36</v>
      </c>
      <c r="E285" s="171"/>
      <c r="F285" s="172"/>
      <c r="G285" s="172"/>
      <c r="H285" s="172">
        <f>SUM(G285)</f>
        <v>0</v>
      </c>
      <c r="I285" s="188"/>
      <c r="J285" s="189"/>
      <c r="K285" s="188"/>
      <c r="L285" s="172"/>
      <c r="M285" s="172">
        <f t="shared" si="68"/>
        <v>0</v>
      </c>
      <c r="N285" s="395">
        <f t="shared" si="68"/>
        <v>0</v>
      </c>
      <c r="O285" s="308"/>
      <c r="P285" s="320"/>
      <c r="Q285" s="303"/>
      <c r="R285" s="401" t="e">
        <f t="shared" si="69"/>
        <v>#DIV/0!</v>
      </c>
    </row>
    <row r="286" spans="1:18" ht="31.5" x14ac:dyDescent="0.2">
      <c r="A286" s="368"/>
      <c r="B286" s="206" t="s">
        <v>284</v>
      </c>
      <c r="C286" s="207" t="s">
        <v>285</v>
      </c>
      <c r="D286" s="208" t="s">
        <v>26</v>
      </c>
      <c r="E286" s="209"/>
      <c r="F286" s="210">
        <f t="shared" ref="F286:N288" si="70">F287</f>
        <v>323.10000000000002</v>
      </c>
      <c r="G286" s="210">
        <f t="shared" si="70"/>
        <v>0</v>
      </c>
      <c r="H286" s="210">
        <f t="shared" si="70"/>
        <v>323.10000000000002</v>
      </c>
      <c r="I286" s="211">
        <f t="shared" si="70"/>
        <v>0</v>
      </c>
      <c r="J286" s="212"/>
      <c r="K286" s="211">
        <f t="shared" si="70"/>
        <v>0</v>
      </c>
      <c r="L286" s="210">
        <f t="shared" si="70"/>
        <v>323.10000000000002</v>
      </c>
      <c r="M286" s="210">
        <f t="shared" si="70"/>
        <v>0</v>
      </c>
      <c r="N286" s="397">
        <f t="shared" si="70"/>
        <v>323.10000000000002</v>
      </c>
      <c r="O286" s="309">
        <v>312.60000000000002</v>
      </c>
      <c r="P286" s="319"/>
      <c r="Q286" s="303"/>
      <c r="R286" s="401">
        <f t="shared" si="69"/>
        <v>96.750232126276686</v>
      </c>
    </row>
    <row r="287" spans="1:18" ht="47.25" x14ac:dyDescent="0.2">
      <c r="A287" s="42"/>
      <c r="B287" s="168" t="s">
        <v>286</v>
      </c>
      <c r="C287" s="169" t="s">
        <v>287</v>
      </c>
      <c r="D287" s="170" t="s">
        <v>26</v>
      </c>
      <c r="E287" s="171"/>
      <c r="F287" s="172">
        <f t="shared" si="70"/>
        <v>323.10000000000002</v>
      </c>
      <c r="G287" s="172">
        <f t="shared" si="70"/>
        <v>0</v>
      </c>
      <c r="H287" s="172">
        <f t="shared" si="70"/>
        <v>323.10000000000002</v>
      </c>
      <c r="I287" s="188">
        <f t="shared" si="70"/>
        <v>0</v>
      </c>
      <c r="J287" s="189"/>
      <c r="K287" s="188">
        <f t="shared" si="70"/>
        <v>0</v>
      </c>
      <c r="L287" s="172">
        <f t="shared" si="70"/>
        <v>323.10000000000002</v>
      </c>
      <c r="M287" s="172">
        <f t="shared" si="70"/>
        <v>0</v>
      </c>
      <c r="N287" s="395">
        <f t="shared" si="70"/>
        <v>323.10000000000002</v>
      </c>
      <c r="O287" s="309">
        <v>312.60000000000002</v>
      </c>
      <c r="P287" s="319"/>
      <c r="Q287" s="303"/>
      <c r="R287" s="401">
        <f t="shared" si="69"/>
        <v>96.750232126276686</v>
      </c>
    </row>
    <row r="288" spans="1:18" ht="31.5" x14ac:dyDescent="0.2">
      <c r="A288" s="42"/>
      <c r="B288" s="168" t="s">
        <v>288</v>
      </c>
      <c r="C288" s="169" t="s">
        <v>289</v>
      </c>
      <c r="D288" s="170" t="s">
        <v>26</v>
      </c>
      <c r="E288" s="171"/>
      <c r="F288" s="172">
        <f t="shared" si="70"/>
        <v>323.10000000000002</v>
      </c>
      <c r="G288" s="172">
        <f t="shared" si="70"/>
        <v>0</v>
      </c>
      <c r="H288" s="172">
        <f t="shared" si="70"/>
        <v>323.10000000000002</v>
      </c>
      <c r="I288" s="188">
        <f t="shared" si="70"/>
        <v>0</v>
      </c>
      <c r="J288" s="189"/>
      <c r="K288" s="188">
        <f t="shared" si="70"/>
        <v>0</v>
      </c>
      <c r="L288" s="172">
        <f t="shared" si="70"/>
        <v>323.10000000000002</v>
      </c>
      <c r="M288" s="172">
        <f t="shared" si="70"/>
        <v>0</v>
      </c>
      <c r="N288" s="395">
        <f t="shared" si="70"/>
        <v>323.10000000000002</v>
      </c>
      <c r="O288" s="309">
        <v>312.60000000000002</v>
      </c>
      <c r="P288" s="319"/>
      <c r="Q288" s="303"/>
      <c r="R288" s="401">
        <f t="shared" si="69"/>
        <v>96.750232126276686</v>
      </c>
    </row>
    <row r="289" spans="1:18" ht="63" x14ac:dyDescent="0.2">
      <c r="A289" s="42"/>
      <c r="B289" s="168" t="s">
        <v>35</v>
      </c>
      <c r="C289" s="169" t="s">
        <v>289</v>
      </c>
      <c r="D289" s="170" t="s">
        <v>36</v>
      </c>
      <c r="E289" s="171"/>
      <c r="F289" s="172">
        <v>323.10000000000002</v>
      </c>
      <c r="G289" s="172"/>
      <c r="H289" s="172">
        <f>F289+G289</f>
        <v>323.10000000000002</v>
      </c>
      <c r="I289" s="188">
        <v>0</v>
      </c>
      <c r="J289" s="189"/>
      <c r="K289" s="188">
        <v>0</v>
      </c>
      <c r="L289" s="172">
        <f>SUM(F289)</f>
        <v>323.10000000000002</v>
      </c>
      <c r="M289" s="172">
        <f>SUM(G289)</f>
        <v>0</v>
      </c>
      <c r="N289" s="395">
        <f>SUM(H289)</f>
        <v>323.10000000000002</v>
      </c>
      <c r="O289" s="309">
        <v>312.60000000000002</v>
      </c>
      <c r="P289" s="319"/>
      <c r="Q289" s="303"/>
      <c r="R289" s="401">
        <f t="shared" si="69"/>
        <v>96.750232126276686</v>
      </c>
    </row>
    <row r="290" spans="1:18" ht="24.6" customHeight="1" x14ac:dyDescent="0.2">
      <c r="A290" s="368"/>
      <c r="B290" s="206" t="s">
        <v>290</v>
      </c>
      <c r="C290" s="207" t="s">
        <v>291</v>
      </c>
      <c r="D290" s="208" t="s">
        <v>26</v>
      </c>
      <c r="E290" s="209"/>
      <c r="F290" s="210">
        <f>F291</f>
        <v>7061.7000000000007</v>
      </c>
      <c r="G290" s="210">
        <f>G291</f>
        <v>0</v>
      </c>
      <c r="H290" s="210">
        <f>H291</f>
        <v>7061.7000000000007</v>
      </c>
      <c r="I290" s="211">
        <f>I291</f>
        <v>0</v>
      </c>
      <c r="J290" s="212"/>
      <c r="K290" s="211">
        <f>K291</f>
        <v>0</v>
      </c>
      <c r="L290" s="210">
        <f>L291</f>
        <v>7061.7000000000007</v>
      </c>
      <c r="M290" s="210">
        <f>M291</f>
        <v>0</v>
      </c>
      <c r="N290" s="397">
        <f>N291</f>
        <v>7061.7000000000007</v>
      </c>
      <c r="O290" s="397">
        <f>O291</f>
        <v>6916.2000000000007</v>
      </c>
      <c r="P290" s="370"/>
      <c r="Q290" s="367"/>
      <c r="R290" s="401">
        <f t="shared" si="69"/>
        <v>97.939589617230979</v>
      </c>
    </row>
    <row r="291" spans="1:18" ht="36.6" customHeight="1" x14ac:dyDescent="0.2">
      <c r="A291" s="42"/>
      <c r="B291" s="168" t="s">
        <v>292</v>
      </c>
      <c r="C291" s="169" t="s">
        <v>293</v>
      </c>
      <c r="D291" s="170" t="s">
        <v>26</v>
      </c>
      <c r="E291" s="171"/>
      <c r="F291" s="172">
        <f>F292+F294</f>
        <v>7061.7000000000007</v>
      </c>
      <c r="G291" s="172">
        <f>G292+G294</f>
        <v>0</v>
      </c>
      <c r="H291" s="172">
        <f>H292+H294</f>
        <v>7061.7000000000007</v>
      </c>
      <c r="I291" s="188">
        <f>I292+I294</f>
        <v>0</v>
      </c>
      <c r="J291" s="189"/>
      <c r="K291" s="188">
        <f>K292+K294</f>
        <v>0</v>
      </c>
      <c r="L291" s="172">
        <f>L292+L294</f>
        <v>7061.7000000000007</v>
      </c>
      <c r="M291" s="172">
        <f>M292+M294</f>
        <v>0</v>
      </c>
      <c r="N291" s="395">
        <f>N292+N294</f>
        <v>7061.7000000000007</v>
      </c>
      <c r="O291" s="395">
        <f>O292+O294</f>
        <v>6916.2000000000007</v>
      </c>
      <c r="P291" s="315"/>
      <c r="Q291" s="367"/>
      <c r="R291" s="401">
        <f t="shared" si="69"/>
        <v>97.939589617230979</v>
      </c>
    </row>
    <row r="292" spans="1:18" ht="22.15" customHeight="1" x14ac:dyDescent="0.2">
      <c r="A292" s="42"/>
      <c r="B292" s="168" t="s">
        <v>294</v>
      </c>
      <c r="C292" s="169" t="s">
        <v>295</v>
      </c>
      <c r="D292" s="170" t="s">
        <v>26</v>
      </c>
      <c r="E292" s="171"/>
      <c r="F292" s="172">
        <f>F293</f>
        <v>1520.6</v>
      </c>
      <c r="G292" s="172">
        <f>G293</f>
        <v>0</v>
      </c>
      <c r="H292" s="172">
        <f>H293</f>
        <v>1520.6</v>
      </c>
      <c r="I292" s="188">
        <f>I293</f>
        <v>0</v>
      </c>
      <c r="J292" s="189"/>
      <c r="K292" s="188">
        <f>K293</f>
        <v>0</v>
      </c>
      <c r="L292" s="172">
        <f>L293</f>
        <v>1520.6</v>
      </c>
      <c r="M292" s="172">
        <f>M293</f>
        <v>0</v>
      </c>
      <c r="N292" s="395">
        <f>N293</f>
        <v>1520.6</v>
      </c>
      <c r="O292" s="311">
        <v>1375.1</v>
      </c>
      <c r="P292" s="322"/>
      <c r="Q292" s="367"/>
      <c r="R292" s="401">
        <f t="shared" si="69"/>
        <v>90.431408654478503</v>
      </c>
    </row>
    <row r="293" spans="1:18" ht="63" x14ac:dyDescent="0.2">
      <c r="A293" s="42"/>
      <c r="B293" s="168" t="s">
        <v>35</v>
      </c>
      <c r="C293" s="169" t="s">
        <v>295</v>
      </c>
      <c r="D293" s="170" t="s">
        <v>36</v>
      </c>
      <c r="E293" s="171"/>
      <c r="F293" s="172">
        <v>1520.6</v>
      </c>
      <c r="G293" s="172"/>
      <c r="H293" s="172">
        <f>SUM(F293:G293)</f>
        <v>1520.6</v>
      </c>
      <c r="I293" s="188">
        <v>0</v>
      </c>
      <c r="J293" s="189"/>
      <c r="K293" s="188">
        <v>0</v>
      </c>
      <c r="L293" s="172">
        <f>SUM(F293)</f>
        <v>1520.6</v>
      </c>
      <c r="M293" s="172">
        <f>SUM(G293)</f>
        <v>0</v>
      </c>
      <c r="N293" s="395">
        <f>SUM(H293)</f>
        <v>1520.6</v>
      </c>
      <c r="O293" s="311">
        <v>1375.1</v>
      </c>
      <c r="P293" s="322"/>
      <c r="Q293" s="367"/>
      <c r="R293" s="401">
        <f t="shared" si="69"/>
        <v>90.431408654478503</v>
      </c>
    </row>
    <row r="294" spans="1:18" ht="52.15" customHeight="1" x14ac:dyDescent="0.2">
      <c r="A294" s="42"/>
      <c r="B294" s="168" t="s">
        <v>296</v>
      </c>
      <c r="C294" s="169" t="s">
        <v>297</v>
      </c>
      <c r="D294" s="170" t="s">
        <v>26</v>
      </c>
      <c r="E294" s="171"/>
      <c r="F294" s="172">
        <f>F295</f>
        <v>5541.1</v>
      </c>
      <c r="G294" s="172">
        <f>G295</f>
        <v>0</v>
      </c>
      <c r="H294" s="172">
        <f>H295</f>
        <v>5541.1</v>
      </c>
      <c r="I294" s="188">
        <f>I295</f>
        <v>0</v>
      </c>
      <c r="J294" s="189"/>
      <c r="K294" s="188">
        <f>K295</f>
        <v>0</v>
      </c>
      <c r="L294" s="172">
        <f>L295</f>
        <v>5541.1</v>
      </c>
      <c r="M294" s="172">
        <f>M295</f>
        <v>0</v>
      </c>
      <c r="N294" s="395">
        <f>N295</f>
        <v>5541.1</v>
      </c>
      <c r="O294" s="306">
        <f>O295</f>
        <v>5541.1</v>
      </c>
      <c r="P294" s="328"/>
      <c r="Q294" s="367"/>
      <c r="R294" s="401">
        <f t="shared" si="69"/>
        <v>100</v>
      </c>
    </row>
    <row r="295" spans="1:18" ht="18.75" x14ac:dyDescent="0.2">
      <c r="A295" s="42"/>
      <c r="B295" s="168" t="s">
        <v>278</v>
      </c>
      <c r="C295" s="169" t="s">
        <v>297</v>
      </c>
      <c r="D295" s="170" t="s">
        <v>279</v>
      </c>
      <c r="E295" s="171"/>
      <c r="F295" s="172">
        <v>5541.1</v>
      </c>
      <c r="G295" s="172"/>
      <c r="H295" s="172">
        <v>5541.1</v>
      </c>
      <c r="I295" s="188">
        <v>0</v>
      </c>
      <c r="J295" s="189"/>
      <c r="K295" s="188">
        <v>0</v>
      </c>
      <c r="L295" s="172">
        <f>SUM(F295)</f>
        <v>5541.1</v>
      </c>
      <c r="M295" s="172">
        <f>SUM(G295)</f>
        <v>0</v>
      </c>
      <c r="N295" s="395">
        <f>SUM(H295)</f>
        <v>5541.1</v>
      </c>
      <c r="O295" s="309">
        <v>5541.1</v>
      </c>
      <c r="P295" s="319"/>
      <c r="Q295" s="303"/>
      <c r="R295" s="401">
        <f t="shared" si="69"/>
        <v>100</v>
      </c>
    </row>
    <row r="296" spans="1:18" ht="31.5" x14ac:dyDescent="0.25">
      <c r="A296" s="368"/>
      <c r="B296" s="206" t="s">
        <v>298</v>
      </c>
      <c r="C296" s="207" t="s">
        <v>299</v>
      </c>
      <c r="D296" s="208" t="s">
        <v>26</v>
      </c>
      <c r="E296" s="209"/>
      <c r="F296" s="210">
        <f t="shared" ref="F296:O298" si="71">F297</f>
        <v>20</v>
      </c>
      <c r="G296" s="210">
        <f t="shared" si="71"/>
        <v>0</v>
      </c>
      <c r="H296" s="210">
        <f t="shared" si="71"/>
        <v>20</v>
      </c>
      <c r="I296" s="211">
        <f t="shared" si="71"/>
        <v>0</v>
      </c>
      <c r="J296" s="210">
        <f>J297</f>
        <v>0</v>
      </c>
      <c r="K296" s="211">
        <f t="shared" si="71"/>
        <v>0</v>
      </c>
      <c r="L296" s="210">
        <f t="shared" si="71"/>
        <v>20</v>
      </c>
      <c r="M296" s="210">
        <f t="shared" si="71"/>
        <v>0</v>
      </c>
      <c r="N296" s="397">
        <f t="shared" si="71"/>
        <v>20</v>
      </c>
      <c r="O296" s="397">
        <f t="shared" si="71"/>
        <v>20</v>
      </c>
      <c r="P296" s="399"/>
      <c r="Q296" s="400"/>
      <c r="R296" s="401">
        <f t="shared" si="69"/>
        <v>100</v>
      </c>
    </row>
    <row r="297" spans="1:18" ht="63" x14ac:dyDescent="0.25">
      <c r="A297" s="42"/>
      <c r="B297" s="168" t="s">
        <v>300</v>
      </c>
      <c r="C297" s="169" t="s">
        <v>301</v>
      </c>
      <c r="D297" s="170" t="s">
        <v>26</v>
      </c>
      <c r="E297" s="171"/>
      <c r="F297" s="172">
        <f t="shared" si="71"/>
        <v>20</v>
      </c>
      <c r="G297" s="172">
        <f t="shared" si="71"/>
        <v>0</v>
      </c>
      <c r="H297" s="172">
        <f t="shared" si="71"/>
        <v>20</v>
      </c>
      <c r="I297" s="188">
        <f t="shared" si="71"/>
        <v>0</v>
      </c>
      <c r="J297" s="189"/>
      <c r="K297" s="188">
        <f t="shared" si="71"/>
        <v>0</v>
      </c>
      <c r="L297" s="172">
        <f t="shared" si="71"/>
        <v>20</v>
      </c>
      <c r="M297" s="172">
        <f t="shared" si="71"/>
        <v>0</v>
      </c>
      <c r="N297" s="395">
        <f t="shared" si="71"/>
        <v>20</v>
      </c>
      <c r="O297" s="395">
        <f t="shared" si="71"/>
        <v>20</v>
      </c>
      <c r="P297" s="361"/>
      <c r="Q297" s="400"/>
      <c r="R297" s="401">
        <f t="shared" si="69"/>
        <v>100</v>
      </c>
    </row>
    <row r="298" spans="1:18" ht="31.5" x14ac:dyDescent="0.25">
      <c r="A298" s="42"/>
      <c r="B298" s="168" t="s">
        <v>302</v>
      </c>
      <c r="C298" s="169" t="s">
        <v>303</v>
      </c>
      <c r="D298" s="170" t="s">
        <v>26</v>
      </c>
      <c r="E298" s="171"/>
      <c r="F298" s="172">
        <f t="shared" si="71"/>
        <v>20</v>
      </c>
      <c r="G298" s="172">
        <f t="shared" si="71"/>
        <v>0</v>
      </c>
      <c r="H298" s="172">
        <f t="shared" si="71"/>
        <v>20</v>
      </c>
      <c r="I298" s="188">
        <f t="shared" si="71"/>
        <v>0</v>
      </c>
      <c r="J298" s="189"/>
      <c r="K298" s="188">
        <f t="shared" si="71"/>
        <v>0</v>
      </c>
      <c r="L298" s="172">
        <f t="shared" si="71"/>
        <v>20</v>
      </c>
      <c r="M298" s="172">
        <f t="shared" si="71"/>
        <v>0</v>
      </c>
      <c r="N298" s="395">
        <f t="shared" si="71"/>
        <v>20</v>
      </c>
      <c r="O298" s="395">
        <f t="shared" si="71"/>
        <v>20</v>
      </c>
      <c r="P298" s="361"/>
      <c r="Q298" s="400"/>
      <c r="R298" s="401">
        <f t="shared" si="69"/>
        <v>100</v>
      </c>
    </row>
    <row r="299" spans="1:18" ht="63" x14ac:dyDescent="0.25">
      <c r="A299" s="42"/>
      <c r="B299" s="168" t="s">
        <v>35</v>
      </c>
      <c r="C299" s="169" t="s">
        <v>303</v>
      </c>
      <c r="D299" s="170" t="s">
        <v>36</v>
      </c>
      <c r="E299" s="171"/>
      <c r="F299" s="172">
        <v>20</v>
      </c>
      <c r="G299" s="172"/>
      <c r="H299" s="172">
        <v>20</v>
      </c>
      <c r="I299" s="188">
        <v>0</v>
      </c>
      <c r="J299" s="189"/>
      <c r="K299" s="188">
        <v>0</v>
      </c>
      <c r="L299" s="172">
        <v>20</v>
      </c>
      <c r="M299" s="172"/>
      <c r="N299" s="395">
        <v>20</v>
      </c>
      <c r="O299" s="311">
        <v>20</v>
      </c>
      <c r="P299" s="322"/>
      <c r="Q299" s="400"/>
      <c r="R299" s="401">
        <f t="shared" si="69"/>
        <v>100</v>
      </c>
    </row>
    <row r="300" spans="1:18" ht="31.5" x14ac:dyDescent="0.25">
      <c r="A300" s="368"/>
      <c r="B300" s="206" t="s">
        <v>140</v>
      </c>
      <c r="C300" s="207" t="s">
        <v>304</v>
      </c>
      <c r="D300" s="208" t="s">
        <v>26</v>
      </c>
      <c r="E300" s="209"/>
      <c r="F300" s="210">
        <f t="shared" ref="F300:M300" si="72">F301+F304</f>
        <v>3869.2</v>
      </c>
      <c r="G300" s="210">
        <f t="shared" si="72"/>
        <v>0</v>
      </c>
      <c r="H300" s="210">
        <f t="shared" si="72"/>
        <v>3869.2</v>
      </c>
      <c r="I300" s="211">
        <f t="shared" si="72"/>
        <v>0</v>
      </c>
      <c r="J300" s="210">
        <f t="shared" si="72"/>
        <v>0</v>
      </c>
      <c r="K300" s="211">
        <f t="shared" si="72"/>
        <v>0</v>
      </c>
      <c r="L300" s="210">
        <f t="shared" si="72"/>
        <v>3869.2</v>
      </c>
      <c r="M300" s="210">
        <f t="shared" si="72"/>
        <v>0</v>
      </c>
      <c r="N300" s="304">
        <f>N301+N304</f>
        <v>3869.2</v>
      </c>
      <c r="O300" s="395">
        <f>O301+O304</f>
        <v>3869.1</v>
      </c>
      <c r="P300" s="399"/>
      <c r="Q300" s="400"/>
      <c r="R300" s="401">
        <f t="shared" si="69"/>
        <v>99.997415486405458</v>
      </c>
    </row>
    <row r="301" spans="1:18" ht="30.6" customHeight="1" x14ac:dyDescent="0.25">
      <c r="A301" s="42"/>
      <c r="B301" s="168" t="s">
        <v>305</v>
      </c>
      <c r="C301" s="169" t="s">
        <v>306</v>
      </c>
      <c r="D301" s="170" t="s">
        <v>26</v>
      </c>
      <c r="E301" s="171"/>
      <c r="F301" s="172">
        <f t="shared" ref="F301:O302" si="73">F302</f>
        <v>3774.2</v>
      </c>
      <c r="G301" s="172">
        <f t="shared" si="73"/>
        <v>0</v>
      </c>
      <c r="H301" s="172">
        <f t="shared" si="73"/>
        <v>3774.2</v>
      </c>
      <c r="I301" s="188">
        <f t="shared" si="73"/>
        <v>0</v>
      </c>
      <c r="J301" s="189"/>
      <c r="K301" s="188">
        <f t="shared" si="73"/>
        <v>0</v>
      </c>
      <c r="L301" s="172">
        <f t="shared" si="73"/>
        <v>3774.2</v>
      </c>
      <c r="M301" s="172">
        <f t="shared" si="73"/>
        <v>0</v>
      </c>
      <c r="N301" s="304">
        <f t="shared" si="73"/>
        <v>3774.2</v>
      </c>
      <c r="O301" s="395">
        <f t="shared" si="73"/>
        <v>3774.2</v>
      </c>
      <c r="P301" s="361"/>
      <c r="Q301" s="400"/>
      <c r="R301" s="401">
        <f t="shared" si="69"/>
        <v>100</v>
      </c>
    </row>
    <row r="302" spans="1:18" ht="110.25" x14ac:dyDescent="0.25">
      <c r="A302" s="42"/>
      <c r="B302" s="168" t="s">
        <v>307</v>
      </c>
      <c r="C302" s="169" t="s">
        <v>308</v>
      </c>
      <c r="D302" s="170" t="s">
        <v>26</v>
      </c>
      <c r="E302" s="171"/>
      <c r="F302" s="172">
        <f t="shared" si="73"/>
        <v>3774.2</v>
      </c>
      <c r="G302" s="172">
        <f t="shared" si="73"/>
        <v>0</v>
      </c>
      <c r="H302" s="172">
        <f t="shared" si="73"/>
        <v>3774.2</v>
      </c>
      <c r="I302" s="188">
        <f t="shared" si="73"/>
        <v>0</v>
      </c>
      <c r="J302" s="189"/>
      <c r="K302" s="188">
        <f t="shared" si="73"/>
        <v>0</v>
      </c>
      <c r="L302" s="172">
        <f t="shared" si="73"/>
        <v>3774.2</v>
      </c>
      <c r="M302" s="172">
        <f t="shared" si="73"/>
        <v>0</v>
      </c>
      <c r="N302" s="304">
        <f t="shared" si="73"/>
        <v>3774.2</v>
      </c>
      <c r="O302" s="395">
        <f t="shared" si="73"/>
        <v>3774.2</v>
      </c>
      <c r="P302" s="361"/>
      <c r="Q302" s="400"/>
      <c r="R302" s="401">
        <f t="shared" si="69"/>
        <v>100</v>
      </c>
    </row>
    <row r="303" spans="1:18" ht="18.75" x14ac:dyDescent="0.2">
      <c r="A303" s="42"/>
      <c r="B303" s="168" t="s">
        <v>278</v>
      </c>
      <c r="C303" s="169" t="s">
        <v>308</v>
      </c>
      <c r="D303" s="170" t="s">
        <v>279</v>
      </c>
      <c r="E303" s="171"/>
      <c r="F303" s="172">
        <v>3774.2</v>
      </c>
      <c r="G303" s="172"/>
      <c r="H303" s="172">
        <v>3774.2</v>
      </c>
      <c r="I303" s="188">
        <v>0</v>
      </c>
      <c r="J303" s="189"/>
      <c r="K303" s="188">
        <v>0</v>
      </c>
      <c r="L303" s="172">
        <f>SUM(F303)</f>
        <v>3774.2</v>
      </c>
      <c r="M303" s="172">
        <f>SUM(G303)</f>
        <v>0</v>
      </c>
      <c r="N303" s="395">
        <f>SUM(H303)</f>
        <v>3774.2</v>
      </c>
      <c r="O303" s="311">
        <v>3774.2</v>
      </c>
      <c r="P303" s="322"/>
      <c r="Q303" s="367"/>
      <c r="R303" s="401">
        <f t="shared" si="69"/>
        <v>100</v>
      </c>
    </row>
    <row r="304" spans="1:18" ht="94.5" x14ac:dyDescent="0.2">
      <c r="A304" s="42"/>
      <c r="B304" s="168" t="s">
        <v>309</v>
      </c>
      <c r="C304" s="169" t="s">
        <v>310</v>
      </c>
      <c r="D304" s="170" t="s">
        <v>26</v>
      </c>
      <c r="E304" s="171"/>
      <c r="F304" s="172">
        <f t="shared" ref="F304:O305" si="74">F305</f>
        <v>95</v>
      </c>
      <c r="G304" s="172">
        <f t="shared" si="74"/>
        <v>0</v>
      </c>
      <c r="H304" s="172">
        <f t="shared" si="74"/>
        <v>95</v>
      </c>
      <c r="I304" s="188">
        <f t="shared" si="74"/>
        <v>0</v>
      </c>
      <c r="J304" s="189"/>
      <c r="K304" s="188">
        <f t="shared" si="74"/>
        <v>0</v>
      </c>
      <c r="L304" s="172">
        <f t="shared" si="74"/>
        <v>95</v>
      </c>
      <c r="M304" s="172">
        <f t="shared" si="74"/>
        <v>0</v>
      </c>
      <c r="N304" s="395">
        <f t="shared" si="74"/>
        <v>95</v>
      </c>
      <c r="O304" s="395">
        <f t="shared" si="74"/>
        <v>94.9</v>
      </c>
      <c r="P304" s="315"/>
      <c r="Q304" s="303"/>
      <c r="R304" s="401">
        <f t="shared" si="69"/>
        <v>99.894736842105274</v>
      </c>
    </row>
    <row r="305" spans="1:18" ht="31.5" x14ac:dyDescent="0.2">
      <c r="A305" s="42"/>
      <c r="B305" s="168" t="s">
        <v>311</v>
      </c>
      <c r="C305" s="169" t="s">
        <v>312</v>
      </c>
      <c r="D305" s="170" t="s">
        <v>26</v>
      </c>
      <c r="E305" s="171"/>
      <c r="F305" s="172">
        <f t="shared" si="74"/>
        <v>95</v>
      </c>
      <c r="G305" s="172">
        <f t="shared" si="74"/>
        <v>0</v>
      </c>
      <c r="H305" s="172">
        <f t="shared" si="74"/>
        <v>95</v>
      </c>
      <c r="I305" s="188">
        <f t="shared" si="74"/>
        <v>0</v>
      </c>
      <c r="J305" s="189"/>
      <c r="K305" s="188">
        <f t="shared" si="74"/>
        <v>0</v>
      </c>
      <c r="L305" s="172">
        <f t="shared" si="74"/>
        <v>95</v>
      </c>
      <c r="M305" s="172">
        <f t="shared" si="74"/>
        <v>0</v>
      </c>
      <c r="N305" s="395">
        <f t="shared" si="74"/>
        <v>95</v>
      </c>
      <c r="O305" s="309">
        <v>94.9</v>
      </c>
      <c r="P305" s="319"/>
      <c r="Q305" s="303"/>
      <c r="R305" s="401">
        <f t="shared" si="69"/>
        <v>99.894736842105274</v>
      </c>
    </row>
    <row r="306" spans="1:18" ht="30" customHeight="1" x14ac:dyDescent="0.2">
      <c r="A306" s="42"/>
      <c r="B306" s="168" t="s">
        <v>35</v>
      </c>
      <c r="C306" s="169" t="s">
        <v>312</v>
      </c>
      <c r="D306" s="170" t="s">
        <v>36</v>
      </c>
      <c r="E306" s="171"/>
      <c r="F306" s="172">
        <v>95</v>
      </c>
      <c r="G306" s="172"/>
      <c r="H306" s="172">
        <v>95</v>
      </c>
      <c r="I306" s="188">
        <v>0</v>
      </c>
      <c r="J306" s="189"/>
      <c r="K306" s="188">
        <v>0</v>
      </c>
      <c r="L306" s="172">
        <v>95</v>
      </c>
      <c r="M306" s="172"/>
      <c r="N306" s="395">
        <v>95</v>
      </c>
      <c r="O306" s="309">
        <v>94.9</v>
      </c>
      <c r="P306" s="319"/>
      <c r="Q306" s="303"/>
      <c r="R306" s="401">
        <f t="shared" si="69"/>
        <v>99.894736842105274</v>
      </c>
    </row>
    <row r="307" spans="1:18" ht="63" hidden="1" x14ac:dyDescent="0.2">
      <c r="A307" s="42"/>
      <c r="B307" s="168" t="s">
        <v>448</v>
      </c>
      <c r="C307" s="169" t="s">
        <v>422</v>
      </c>
      <c r="D307" s="170"/>
      <c r="E307" s="171"/>
      <c r="F307" s="172"/>
      <c r="G307" s="172"/>
      <c r="H307" s="172">
        <f>SUM(G307)</f>
        <v>0</v>
      </c>
      <c r="I307" s="188"/>
      <c r="J307" s="189"/>
      <c r="K307" s="188"/>
      <c r="L307" s="172"/>
      <c r="M307" s="172">
        <f>SUM(G307)</f>
        <v>0</v>
      </c>
      <c r="N307" s="395">
        <f>SUM(H307)</f>
        <v>0</v>
      </c>
      <c r="O307" s="308"/>
      <c r="P307" s="320"/>
      <c r="Q307" s="303"/>
      <c r="R307" s="401" t="e">
        <f t="shared" si="69"/>
        <v>#DIV/0!</v>
      </c>
    </row>
    <row r="308" spans="1:18" ht="31.5" hidden="1" x14ac:dyDescent="0.2">
      <c r="A308" s="42"/>
      <c r="B308" s="168" t="s">
        <v>432</v>
      </c>
      <c r="C308" s="169" t="s">
        <v>433</v>
      </c>
      <c r="D308" s="170"/>
      <c r="E308" s="171"/>
      <c r="F308" s="172"/>
      <c r="G308" s="172"/>
      <c r="H308" s="172">
        <f>SUM(G308)</f>
        <v>0</v>
      </c>
      <c r="I308" s="188"/>
      <c r="J308" s="189"/>
      <c r="K308" s="188"/>
      <c r="L308" s="172"/>
      <c r="M308" s="172">
        <f>SUM(G308)</f>
        <v>0</v>
      </c>
      <c r="N308" s="395" t="s">
        <v>447</v>
      </c>
      <c r="O308" s="308"/>
      <c r="P308" s="320"/>
      <c r="Q308" s="303"/>
      <c r="R308" s="401" t="e">
        <f t="shared" si="69"/>
        <v>#VALUE!</v>
      </c>
    </row>
    <row r="309" spans="1:18" ht="47.25" hidden="1" x14ac:dyDescent="0.2">
      <c r="A309" s="42"/>
      <c r="B309" s="168" t="s">
        <v>434</v>
      </c>
      <c r="C309" s="169" t="s">
        <v>435</v>
      </c>
      <c r="D309" s="170"/>
      <c r="E309" s="171"/>
      <c r="F309" s="172"/>
      <c r="G309" s="172"/>
      <c r="H309" s="172">
        <f>SUM(G309)</f>
        <v>0</v>
      </c>
      <c r="I309" s="188"/>
      <c r="J309" s="189"/>
      <c r="K309" s="188"/>
      <c r="L309" s="172"/>
      <c r="M309" s="172">
        <f>SUM(G310)</f>
        <v>0</v>
      </c>
      <c r="N309" s="395">
        <f>SUM(H310)</f>
        <v>0</v>
      </c>
      <c r="O309" s="308"/>
      <c r="P309" s="320"/>
      <c r="Q309" s="303"/>
      <c r="R309" s="401" t="e">
        <f t="shared" si="69"/>
        <v>#DIV/0!</v>
      </c>
    </row>
    <row r="310" spans="1:18" ht="63" hidden="1" x14ac:dyDescent="0.2">
      <c r="A310" s="42"/>
      <c r="B310" s="168" t="s">
        <v>35</v>
      </c>
      <c r="C310" s="169" t="s">
        <v>435</v>
      </c>
      <c r="D310" s="170" t="s">
        <v>36</v>
      </c>
      <c r="E310" s="171"/>
      <c r="F310" s="172"/>
      <c r="G310" s="172"/>
      <c r="H310" s="172">
        <f>SUM(G310)</f>
        <v>0</v>
      </c>
      <c r="I310" s="188"/>
      <c r="J310" s="189"/>
      <c r="K310" s="188"/>
      <c r="L310" s="172"/>
      <c r="M310" s="172">
        <f>SUM(G310)</f>
        <v>0</v>
      </c>
      <c r="N310" s="395">
        <f>SUM(H310)</f>
        <v>0</v>
      </c>
      <c r="O310" s="308"/>
      <c r="P310" s="320"/>
      <c r="Q310" s="303"/>
      <c r="R310" s="401" t="e">
        <f t="shared" si="69"/>
        <v>#DIV/0!</v>
      </c>
    </row>
    <row r="311" spans="1:18" ht="78.75" x14ac:dyDescent="0.2">
      <c r="A311" s="42" t="s">
        <v>313</v>
      </c>
      <c r="B311" s="168" t="s">
        <v>314</v>
      </c>
      <c r="C311" s="169" t="s">
        <v>315</v>
      </c>
      <c r="D311" s="170" t="s">
        <v>26</v>
      </c>
      <c r="E311" s="171"/>
      <c r="F311" s="172">
        <f t="shared" ref="F311:N311" si="75">F312+F322+F327</f>
        <v>7538.6</v>
      </c>
      <c r="G311" s="172">
        <f t="shared" si="75"/>
        <v>2.3092638912203256E-14</v>
      </c>
      <c r="H311" s="172">
        <f t="shared" si="75"/>
        <v>7538.6</v>
      </c>
      <c r="I311" s="188">
        <f t="shared" si="75"/>
        <v>700</v>
      </c>
      <c r="J311" s="172">
        <f t="shared" si="75"/>
        <v>0</v>
      </c>
      <c r="K311" s="188">
        <f t="shared" si="75"/>
        <v>700</v>
      </c>
      <c r="L311" s="172">
        <f t="shared" si="75"/>
        <v>8238.6</v>
      </c>
      <c r="M311" s="172">
        <f t="shared" si="75"/>
        <v>2.3092638912203256E-14</v>
      </c>
      <c r="N311" s="395">
        <f t="shared" si="75"/>
        <v>8238.6</v>
      </c>
      <c r="O311" s="395">
        <f>SUM(O312+O322+O327)</f>
        <v>8187.2999999999993</v>
      </c>
      <c r="P311" s="315"/>
      <c r="Q311" s="303"/>
      <c r="R311" s="401">
        <f t="shared" si="69"/>
        <v>99.377321389556457</v>
      </c>
    </row>
    <row r="312" spans="1:18" ht="47.25" x14ac:dyDescent="0.2">
      <c r="A312" s="368"/>
      <c r="B312" s="206" t="s">
        <v>316</v>
      </c>
      <c r="C312" s="207" t="s">
        <v>317</v>
      </c>
      <c r="D312" s="208" t="s">
        <v>26</v>
      </c>
      <c r="E312" s="209"/>
      <c r="F312" s="210">
        <f t="shared" ref="F312:O312" si="76">F313</f>
        <v>2278.6</v>
      </c>
      <c r="G312" s="210">
        <f t="shared" si="76"/>
        <v>0</v>
      </c>
      <c r="H312" s="210">
        <f t="shared" si="76"/>
        <v>2278.6</v>
      </c>
      <c r="I312" s="211">
        <f t="shared" si="76"/>
        <v>600</v>
      </c>
      <c r="J312" s="210">
        <f t="shared" si="76"/>
        <v>0</v>
      </c>
      <c r="K312" s="211">
        <f t="shared" si="76"/>
        <v>600</v>
      </c>
      <c r="L312" s="210">
        <f t="shared" si="76"/>
        <v>2878.6</v>
      </c>
      <c r="M312" s="210">
        <f t="shared" si="76"/>
        <v>0</v>
      </c>
      <c r="N312" s="397">
        <f t="shared" si="76"/>
        <v>2878.6</v>
      </c>
      <c r="O312" s="397">
        <f t="shared" si="76"/>
        <v>2877.4</v>
      </c>
      <c r="P312" s="369"/>
      <c r="Q312" s="303"/>
      <c r="R312" s="401">
        <f t="shared" si="69"/>
        <v>99.958313068852917</v>
      </c>
    </row>
    <row r="313" spans="1:18" ht="63" x14ac:dyDescent="0.2">
      <c r="A313" s="42"/>
      <c r="B313" s="168" t="s">
        <v>318</v>
      </c>
      <c r="C313" s="169" t="s">
        <v>319</v>
      </c>
      <c r="D313" s="170" t="s">
        <v>26</v>
      </c>
      <c r="E313" s="171"/>
      <c r="F313" s="172">
        <f>F314+F317</f>
        <v>2278.6</v>
      </c>
      <c r="G313" s="172">
        <f>G314+G317</f>
        <v>0</v>
      </c>
      <c r="H313" s="172">
        <f>H314+H317</f>
        <v>2278.6</v>
      </c>
      <c r="I313" s="188">
        <f>I314+I317+I320</f>
        <v>600</v>
      </c>
      <c r="J313" s="189">
        <f>SUM(J320)</f>
        <v>0</v>
      </c>
      <c r="K313" s="189">
        <f>SUM(K320)</f>
        <v>600</v>
      </c>
      <c r="L313" s="172">
        <f>L314+L317+I313</f>
        <v>2878.6</v>
      </c>
      <c r="M313" s="189">
        <f>SUM(M320)+M314+M317</f>
        <v>0</v>
      </c>
      <c r="N313" s="395">
        <f>N314+N317+K313</f>
        <v>2878.6</v>
      </c>
      <c r="O313" s="395">
        <f>SUM(O314+O317+O320)</f>
        <v>2877.4</v>
      </c>
      <c r="P313" s="315"/>
      <c r="Q313" s="303"/>
      <c r="R313" s="401">
        <f t="shared" si="69"/>
        <v>99.958313068852917</v>
      </c>
    </row>
    <row r="314" spans="1:18" ht="47.25" x14ac:dyDescent="0.2">
      <c r="A314" s="42"/>
      <c r="B314" s="168" t="s">
        <v>316</v>
      </c>
      <c r="C314" s="169" t="s">
        <v>320</v>
      </c>
      <c r="D314" s="170" t="s">
        <v>26</v>
      </c>
      <c r="E314" s="171"/>
      <c r="F314" s="172">
        <f>F316+F315</f>
        <v>1968.6</v>
      </c>
      <c r="G314" s="172">
        <f>G316+G315</f>
        <v>0</v>
      </c>
      <c r="H314" s="172">
        <f>H316+H315</f>
        <v>1968.6</v>
      </c>
      <c r="I314" s="188">
        <f>I316</f>
        <v>0</v>
      </c>
      <c r="J314" s="189"/>
      <c r="K314" s="188">
        <f>K316</f>
        <v>0</v>
      </c>
      <c r="L314" s="172">
        <f>L316+L315</f>
        <v>1968.6</v>
      </c>
      <c r="M314" s="172">
        <f>M316+M315</f>
        <v>0</v>
      </c>
      <c r="N314" s="395">
        <f>N316+N315</f>
        <v>1968.6</v>
      </c>
      <c r="O314" s="395">
        <f>O316+O315</f>
        <v>1968.6</v>
      </c>
      <c r="P314" s="325"/>
      <c r="Q314" s="303"/>
      <c r="R314" s="401">
        <f t="shared" si="69"/>
        <v>100</v>
      </c>
    </row>
    <row r="315" spans="1:18" ht="63" x14ac:dyDescent="0.2">
      <c r="A315" s="42"/>
      <c r="B315" s="168" t="s">
        <v>35</v>
      </c>
      <c r="C315" s="169" t="s">
        <v>320</v>
      </c>
      <c r="D315" s="170" t="s">
        <v>36</v>
      </c>
      <c r="E315" s="171"/>
      <c r="F315" s="172">
        <v>348.6</v>
      </c>
      <c r="G315" s="172"/>
      <c r="H315" s="172">
        <f>SUM(F315)+G315</f>
        <v>348.6</v>
      </c>
      <c r="I315" s="188"/>
      <c r="J315" s="189"/>
      <c r="K315" s="188"/>
      <c r="L315" s="172">
        <f>SUM(F315)</f>
        <v>348.6</v>
      </c>
      <c r="M315" s="172">
        <f>SUM(G315)</f>
        <v>0</v>
      </c>
      <c r="N315" s="395">
        <f>SUM(H315)</f>
        <v>348.6</v>
      </c>
      <c r="O315" s="309">
        <v>348.6</v>
      </c>
      <c r="P315" s="319"/>
      <c r="Q315" s="303"/>
      <c r="R315" s="401">
        <f t="shared" si="69"/>
        <v>100</v>
      </c>
    </row>
    <row r="316" spans="1:18" ht="31.5" x14ac:dyDescent="0.2">
      <c r="A316" s="42"/>
      <c r="B316" s="168" t="s">
        <v>54</v>
      </c>
      <c r="C316" s="169" t="s">
        <v>320</v>
      </c>
      <c r="D316" s="170" t="s">
        <v>55</v>
      </c>
      <c r="E316" s="171"/>
      <c r="F316" s="172">
        <v>1620</v>
      </c>
      <c r="G316" s="172"/>
      <c r="H316" s="172">
        <f>SUM(F316:G316)</f>
        <v>1620</v>
      </c>
      <c r="I316" s="188">
        <v>0</v>
      </c>
      <c r="J316" s="189"/>
      <c r="K316" s="188">
        <v>0</v>
      </c>
      <c r="L316" s="172">
        <f>SUM(F316)</f>
        <v>1620</v>
      </c>
      <c r="M316" s="172">
        <f>G316+J316</f>
        <v>0</v>
      </c>
      <c r="N316" s="395">
        <f>SUM(L316:M316)</f>
        <v>1620</v>
      </c>
      <c r="O316" s="309">
        <v>1620</v>
      </c>
      <c r="P316" s="319"/>
      <c r="Q316" s="303"/>
      <c r="R316" s="401">
        <f t="shared" si="69"/>
        <v>100</v>
      </c>
    </row>
    <row r="317" spans="1:18" ht="63" x14ac:dyDescent="0.2">
      <c r="A317" s="42"/>
      <c r="B317" s="168" t="s">
        <v>321</v>
      </c>
      <c r="C317" s="169" t="s">
        <v>322</v>
      </c>
      <c r="D317" s="170" t="s">
        <v>26</v>
      </c>
      <c r="E317" s="171"/>
      <c r="F317" s="172">
        <f>F318+F319</f>
        <v>310</v>
      </c>
      <c r="G317" s="172">
        <f>G318+G319</f>
        <v>0</v>
      </c>
      <c r="H317" s="172">
        <f>H318+H319</f>
        <v>310</v>
      </c>
      <c r="I317" s="188">
        <f>I318+I319</f>
        <v>0</v>
      </c>
      <c r="J317" s="189"/>
      <c r="K317" s="188">
        <f>K318+K319</f>
        <v>0</v>
      </c>
      <c r="L317" s="172">
        <f>L318+L319</f>
        <v>310</v>
      </c>
      <c r="M317" s="172">
        <f>M318+M319</f>
        <v>0</v>
      </c>
      <c r="N317" s="395">
        <f>N318+N319</f>
        <v>310</v>
      </c>
      <c r="O317" s="395">
        <f>O318+O319</f>
        <v>308.8</v>
      </c>
      <c r="P317" s="325"/>
      <c r="Q317" s="303"/>
      <c r="R317" s="401">
        <f t="shared" si="69"/>
        <v>99.612903225806463</v>
      </c>
    </row>
    <row r="318" spans="1:18" ht="63" x14ac:dyDescent="0.2">
      <c r="A318" s="42"/>
      <c r="B318" s="168" t="s">
        <v>35</v>
      </c>
      <c r="C318" s="169" t="s">
        <v>322</v>
      </c>
      <c r="D318" s="170" t="s">
        <v>36</v>
      </c>
      <c r="E318" s="171"/>
      <c r="F318" s="172">
        <v>300</v>
      </c>
      <c r="G318" s="172"/>
      <c r="H318" s="172">
        <v>300</v>
      </c>
      <c r="I318" s="188">
        <v>0</v>
      </c>
      <c r="J318" s="189"/>
      <c r="K318" s="188">
        <v>0</v>
      </c>
      <c r="L318" s="172">
        <v>300</v>
      </c>
      <c r="M318" s="172"/>
      <c r="N318" s="395">
        <v>300</v>
      </c>
      <c r="O318" s="309">
        <v>298.8</v>
      </c>
      <c r="P318" s="319"/>
      <c r="Q318" s="303"/>
      <c r="R318" s="401">
        <f t="shared" si="69"/>
        <v>99.6</v>
      </c>
    </row>
    <row r="319" spans="1:18" ht="31.5" x14ac:dyDescent="0.2">
      <c r="A319" s="42"/>
      <c r="B319" s="168" t="s">
        <v>54</v>
      </c>
      <c r="C319" s="169" t="s">
        <v>322</v>
      </c>
      <c r="D319" s="170" t="s">
        <v>55</v>
      </c>
      <c r="E319" s="171"/>
      <c r="F319" s="172">
        <v>10</v>
      </c>
      <c r="G319" s="172"/>
      <c r="H319" s="172">
        <v>10</v>
      </c>
      <c r="I319" s="188">
        <v>0</v>
      </c>
      <c r="J319" s="189"/>
      <c r="K319" s="188">
        <v>0</v>
      </c>
      <c r="L319" s="172">
        <v>10</v>
      </c>
      <c r="M319" s="172"/>
      <c r="N319" s="395">
        <v>10</v>
      </c>
      <c r="O319" s="309">
        <v>10</v>
      </c>
      <c r="P319" s="319"/>
      <c r="Q319" s="303"/>
      <c r="R319" s="401">
        <f t="shared" si="69"/>
        <v>100</v>
      </c>
    </row>
    <row r="320" spans="1:18" ht="63" x14ac:dyDescent="0.2">
      <c r="A320" s="42"/>
      <c r="B320" s="168" t="s">
        <v>468</v>
      </c>
      <c r="C320" s="169" t="s">
        <v>466</v>
      </c>
      <c r="D320" s="170"/>
      <c r="E320" s="171"/>
      <c r="F320" s="172"/>
      <c r="G320" s="172"/>
      <c r="H320" s="172"/>
      <c r="I320" s="188">
        <v>600</v>
      </c>
      <c r="J320" s="189">
        <f>SUM(J321)</f>
        <v>0</v>
      </c>
      <c r="K320" s="189">
        <f>SUM(K321)</f>
        <v>600</v>
      </c>
      <c r="L320" s="172">
        <f t="shared" ref="L320:N321" si="77">SUM(I320)</f>
        <v>600</v>
      </c>
      <c r="M320" s="172">
        <f t="shared" si="77"/>
        <v>0</v>
      </c>
      <c r="N320" s="395">
        <f t="shared" si="77"/>
        <v>600</v>
      </c>
      <c r="O320" s="309">
        <v>600</v>
      </c>
      <c r="P320" s="327"/>
      <c r="Q320" s="303"/>
      <c r="R320" s="401">
        <f t="shared" si="69"/>
        <v>100</v>
      </c>
    </row>
    <row r="321" spans="1:18" ht="63" x14ac:dyDescent="0.2">
      <c r="A321" s="42"/>
      <c r="B321" s="168" t="s">
        <v>35</v>
      </c>
      <c r="C321" s="169" t="s">
        <v>466</v>
      </c>
      <c r="D321" s="170" t="s">
        <v>36</v>
      </c>
      <c r="E321" s="171"/>
      <c r="F321" s="172"/>
      <c r="G321" s="172"/>
      <c r="H321" s="172"/>
      <c r="I321" s="188">
        <v>600</v>
      </c>
      <c r="J321" s="189"/>
      <c r="K321" s="188">
        <f>SUM(I321)</f>
        <v>600</v>
      </c>
      <c r="L321" s="172">
        <f t="shared" si="77"/>
        <v>600</v>
      </c>
      <c r="M321" s="172">
        <f t="shared" si="77"/>
        <v>0</v>
      </c>
      <c r="N321" s="395">
        <f t="shared" si="77"/>
        <v>600</v>
      </c>
      <c r="O321" s="309">
        <v>600</v>
      </c>
      <c r="P321" s="319"/>
      <c r="Q321" s="303"/>
      <c r="R321" s="401">
        <f t="shared" si="69"/>
        <v>100</v>
      </c>
    </row>
    <row r="322" spans="1:18" ht="63" x14ac:dyDescent="0.2">
      <c r="A322" s="368"/>
      <c r="B322" s="206" t="s">
        <v>323</v>
      </c>
      <c r="C322" s="207" t="s">
        <v>324</v>
      </c>
      <c r="D322" s="208" t="s">
        <v>26</v>
      </c>
      <c r="E322" s="209"/>
      <c r="F322" s="210">
        <f t="shared" ref="F322:N324" si="78">F323</f>
        <v>150</v>
      </c>
      <c r="G322" s="210">
        <f t="shared" si="78"/>
        <v>0</v>
      </c>
      <c r="H322" s="210">
        <f t="shared" si="78"/>
        <v>150</v>
      </c>
      <c r="I322" s="211">
        <f t="shared" si="78"/>
        <v>0</v>
      </c>
      <c r="J322" s="210">
        <f>J323</f>
        <v>0</v>
      </c>
      <c r="K322" s="211">
        <f t="shared" si="78"/>
        <v>0</v>
      </c>
      <c r="L322" s="210">
        <f t="shared" si="78"/>
        <v>150</v>
      </c>
      <c r="M322" s="210">
        <f t="shared" si="78"/>
        <v>0</v>
      </c>
      <c r="N322" s="397">
        <f t="shared" si="78"/>
        <v>150</v>
      </c>
      <c r="O322" s="309">
        <v>100</v>
      </c>
      <c r="P322" s="319"/>
      <c r="Q322" s="303"/>
      <c r="R322" s="401">
        <f t="shared" si="69"/>
        <v>66.666666666666657</v>
      </c>
    </row>
    <row r="323" spans="1:18" ht="94.5" x14ac:dyDescent="0.2">
      <c r="A323" s="42"/>
      <c r="B323" s="168" t="s">
        <v>325</v>
      </c>
      <c r="C323" s="169" t="s">
        <v>326</v>
      </c>
      <c r="D323" s="170" t="s">
        <v>26</v>
      </c>
      <c r="E323" s="171"/>
      <c r="F323" s="172">
        <f t="shared" si="78"/>
        <v>150</v>
      </c>
      <c r="G323" s="172">
        <f t="shared" si="78"/>
        <v>0</v>
      </c>
      <c r="H323" s="172">
        <f t="shared" si="78"/>
        <v>150</v>
      </c>
      <c r="I323" s="188">
        <f t="shared" si="78"/>
        <v>0</v>
      </c>
      <c r="J323" s="189"/>
      <c r="K323" s="188">
        <f t="shared" si="78"/>
        <v>0</v>
      </c>
      <c r="L323" s="172">
        <f t="shared" si="78"/>
        <v>150</v>
      </c>
      <c r="M323" s="172">
        <f t="shared" si="78"/>
        <v>0</v>
      </c>
      <c r="N323" s="395">
        <f t="shared" si="78"/>
        <v>150</v>
      </c>
      <c r="O323" s="309">
        <v>100</v>
      </c>
      <c r="P323" s="319"/>
      <c r="Q323" s="303"/>
      <c r="R323" s="401">
        <f t="shared" si="69"/>
        <v>66.666666666666657</v>
      </c>
    </row>
    <row r="324" spans="1:18" ht="33" customHeight="1" x14ac:dyDescent="0.2">
      <c r="A324" s="42"/>
      <c r="B324" s="168" t="s">
        <v>327</v>
      </c>
      <c r="C324" s="169" t="s">
        <v>328</v>
      </c>
      <c r="D324" s="170" t="s">
        <v>26</v>
      </c>
      <c r="E324" s="171"/>
      <c r="F324" s="172">
        <f t="shared" si="78"/>
        <v>150</v>
      </c>
      <c r="G324" s="172">
        <f t="shared" si="78"/>
        <v>0</v>
      </c>
      <c r="H324" s="172">
        <f t="shared" si="78"/>
        <v>150</v>
      </c>
      <c r="I324" s="188">
        <f t="shared" si="78"/>
        <v>0</v>
      </c>
      <c r="J324" s="189"/>
      <c r="K324" s="188">
        <f t="shared" si="78"/>
        <v>0</v>
      </c>
      <c r="L324" s="172">
        <f t="shared" si="78"/>
        <v>150</v>
      </c>
      <c r="M324" s="172">
        <f t="shared" si="78"/>
        <v>0</v>
      </c>
      <c r="N324" s="395">
        <f t="shared" si="78"/>
        <v>150</v>
      </c>
      <c r="O324" s="309">
        <v>100</v>
      </c>
      <c r="P324" s="319"/>
      <c r="Q324" s="303"/>
      <c r="R324" s="401">
        <f t="shared" si="69"/>
        <v>66.666666666666657</v>
      </c>
    </row>
    <row r="325" spans="1:18" ht="63" x14ac:dyDescent="0.2">
      <c r="A325" s="42"/>
      <c r="B325" s="168" t="s">
        <v>35</v>
      </c>
      <c r="C325" s="169" t="s">
        <v>328</v>
      </c>
      <c r="D325" s="170" t="s">
        <v>36</v>
      </c>
      <c r="E325" s="171"/>
      <c r="F325" s="172">
        <v>150</v>
      </c>
      <c r="G325" s="172"/>
      <c r="H325" s="172">
        <v>150</v>
      </c>
      <c r="I325" s="188">
        <v>0</v>
      </c>
      <c r="J325" s="189"/>
      <c r="K325" s="188">
        <v>0</v>
      </c>
      <c r="L325" s="172">
        <v>150</v>
      </c>
      <c r="M325" s="172"/>
      <c r="N325" s="395">
        <v>150</v>
      </c>
      <c r="O325" s="309">
        <v>100</v>
      </c>
      <c r="P325" s="319"/>
      <c r="Q325" s="303"/>
      <c r="R325" s="401">
        <f t="shared" si="69"/>
        <v>66.666666666666657</v>
      </c>
    </row>
    <row r="326" spans="1:18" ht="18.75" hidden="1" x14ac:dyDescent="0.2">
      <c r="A326" s="42"/>
      <c r="B326" s="168"/>
      <c r="C326" s="169"/>
      <c r="D326" s="170"/>
      <c r="E326" s="171"/>
      <c r="F326" s="172"/>
      <c r="G326" s="172"/>
      <c r="H326" s="172"/>
      <c r="I326" s="188"/>
      <c r="J326" s="189"/>
      <c r="K326" s="189"/>
      <c r="L326" s="172"/>
      <c r="M326" s="172"/>
      <c r="N326" s="395"/>
      <c r="O326" s="308"/>
      <c r="P326" s="320"/>
      <c r="Q326" s="303"/>
      <c r="R326" s="401" t="e">
        <f t="shared" si="69"/>
        <v>#DIV/0!</v>
      </c>
    </row>
    <row r="327" spans="1:18" ht="47.25" x14ac:dyDescent="0.2">
      <c r="A327" s="368"/>
      <c r="B327" s="206" t="s">
        <v>329</v>
      </c>
      <c r="C327" s="207" t="s">
        <v>330</v>
      </c>
      <c r="D327" s="208" t="s">
        <v>26</v>
      </c>
      <c r="E327" s="209"/>
      <c r="F327" s="210">
        <f t="shared" ref="F327:O328" si="79">F328</f>
        <v>5110</v>
      </c>
      <c r="G327" s="210">
        <f t="shared" si="79"/>
        <v>2.3092638912203256E-14</v>
      </c>
      <c r="H327" s="210">
        <f t="shared" si="79"/>
        <v>5110.0000000000009</v>
      </c>
      <c r="I327" s="211">
        <f>I328+I332</f>
        <v>100</v>
      </c>
      <c r="J327" s="210">
        <f>SUM(J332)</f>
        <v>0</v>
      </c>
      <c r="K327" s="210">
        <f>SUM(K332)</f>
        <v>100</v>
      </c>
      <c r="L327" s="210">
        <f>L328+I327</f>
        <v>5210</v>
      </c>
      <c r="M327" s="210">
        <f>M328+M332</f>
        <v>2.3092638912203256E-14</v>
      </c>
      <c r="N327" s="397">
        <f>N328+K327</f>
        <v>5210.0000000000009</v>
      </c>
      <c r="O327" s="397">
        <f>SUM(O328+O332)</f>
        <v>5209.8999999999996</v>
      </c>
      <c r="P327" s="369"/>
      <c r="Q327" s="367"/>
      <c r="R327" s="401">
        <f t="shared" si="69"/>
        <v>99.998080614203431</v>
      </c>
    </row>
    <row r="328" spans="1:18" ht="96" customHeight="1" x14ac:dyDescent="0.2">
      <c r="A328" s="42"/>
      <c r="B328" s="214" t="s">
        <v>331</v>
      </c>
      <c r="C328" s="169" t="s">
        <v>332</v>
      </c>
      <c r="D328" s="170" t="s">
        <v>26</v>
      </c>
      <c r="E328" s="171"/>
      <c r="F328" s="172">
        <f t="shared" si="79"/>
        <v>5110</v>
      </c>
      <c r="G328" s="172">
        <f t="shared" si="79"/>
        <v>2.3092638912203256E-14</v>
      </c>
      <c r="H328" s="172">
        <f t="shared" si="79"/>
        <v>5110.0000000000009</v>
      </c>
      <c r="I328" s="188">
        <f t="shared" si="79"/>
        <v>0</v>
      </c>
      <c r="J328" s="189"/>
      <c r="K328" s="188">
        <f t="shared" si="79"/>
        <v>0</v>
      </c>
      <c r="L328" s="172">
        <f t="shared" si="79"/>
        <v>5110</v>
      </c>
      <c r="M328" s="172">
        <f t="shared" si="79"/>
        <v>2.3092638912203256E-14</v>
      </c>
      <c r="N328" s="395">
        <f t="shared" si="79"/>
        <v>5110.0000000000009</v>
      </c>
      <c r="O328" s="395">
        <f t="shared" si="79"/>
        <v>5109.8999999999996</v>
      </c>
      <c r="P328" s="315"/>
      <c r="Q328" s="367"/>
      <c r="R328" s="401">
        <f t="shared" si="69"/>
        <v>99.998043052837545</v>
      </c>
    </row>
    <row r="329" spans="1:18" ht="63" x14ac:dyDescent="0.2">
      <c r="A329" s="42"/>
      <c r="B329" s="168" t="s">
        <v>333</v>
      </c>
      <c r="C329" s="169" t="s">
        <v>334</v>
      </c>
      <c r="D329" s="170" t="s">
        <v>26</v>
      </c>
      <c r="E329" s="171"/>
      <c r="F329" s="172">
        <f>F330+F331</f>
        <v>5110</v>
      </c>
      <c r="G329" s="172">
        <f>G330+G331</f>
        <v>2.3092638912203256E-14</v>
      </c>
      <c r="H329" s="172">
        <f>H330+H331</f>
        <v>5110.0000000000009</v>
      </c>
      <c r="I329" s="188">
        <f>I330+I331</f>
        <v>0</v>
      </c>
      <c r="J329" s="189"/>
      <c r="K329" s="188">
        <f>K330+K331</f>
        <v>0</v>
      </c>
      <c r="L329" s="172">
        <f>L330+L331</f>
        <v>5110</v>
      </c>
      <c r="M329" s="172">
        <f>M330+M331</f>
        <v>2.3092638912203256E-14</v>
      </c>
      <c r="N329" s="395">
        <f>SUM(H329)</f>
        <v>5110.0000000000009</v>
      </c>
      <c r="O329" s="395">
        <f>SUM(O330+O331)</f>
        <v>5109.8999999999996</v>
      </c>
      <c r="P329" s="315"/>
      <c r="Q329" s="367"/>
      <c r="R329" s="401">
        <f t="shared" si="69"/>
        <v>99.998043052837545</v>
      </c>
    </row>
    <row r="330" spans="1:18" ht="63" x14ac:dyDescent="0.2">
      <c r="A330" s="42"/>
      <c r="B330" s="168" t="s">
        <v>35</v>
      </c>
      <c r="C330" s="169" t="s">
        <v>334</v>
      </c>
      <c r="D330" s="170" t="s">
        <v>36</v>
      </c>
      <c r="E330" s="171"/>
      <c r="F330" s="172">
        <v>5046.8</v>
      </c>
      <c r="G330" s="172">
        <f>13.6-450+450</f>
        <v>13.600000000000023</v>
      </c>
      <c r="H330" s="172">
        <f>SUM(F330:G330)</f>
        <v>5060.4000000000005</v>
      </c>
      <c r="I330" s="188">
        <v>0</v>
      </c>
      <c r="J330" s="189"/>
      <c r="K330" s="188">
        <v>0</v>
      </c>
      <c r="L330" s="172">
        <f>SUM(F330)</f>
        <v>5046.8</v>
      </c>
      <c r="M330" s="172">
        <f>SUM(G330)</f>
        <v>13.600000000000023</v>
      </c>
      <c r="N330" s="395">
        <f>SUM(L330:M330)</f>
        <v>5060.4000000000005</v>
      </c>
      <c r="O330" s="309">
        <v>5060.3999999999996</v>
      </c>
      <c r="P330" s="319"/>
      <c r="Q330" s="303"/>
      <c r="R330" s="401">
        <f t="shared" si="69"/>
        <v>99.999999999999972</v>
      </c>
    </row>
    <row r="331" spans="1:18" ht="18.75" x14ac:dyDescent="0.2">
      <c r="A331" s="42"/>
      <c r="B331" s="168" t="s">
        <v>41</v>
      </c>
      <c r="C331" s="169" t="s">
        <v>334</v>
      </c>
      <c r="D331" s="170" t="s">
        <v>42</v>
      </c>
      <c r="E331" s="171"/>
      <c r="F331" s="172">
        <v>63.2</v>
      </c>
      <c r="G331" s="172">
        <v>-13.6</v>
      </c>
      <c r="H331" s="172">
        <f>63.2+G331</f>
        <v>49.6</v>
      </c>
      <c r="I331" s="188">
        <v>0</v>
      </c>
      <c r="J331" s="189"/>
      <c r="K331" s="188">
        <v>0</v>
      </c>
      <c r="L331" s="172">
        <v>63.2</v>
      </c>
      <c r="M331" s="172">
        <f>SUM(G331)</f>
        <v>-13.6</v>
      </c>
      <c r="N331" s="395">
        <f>63.2+M331</f>
        <v>49.6</v>
      </c>
      <c r="O331" s="309">
        <v>49.5</v>
      </c>
      <c r="P331" s="319"/>
      <c r="Q331" s="303"/>
      <c r="R331" s="401">
        <f t="shared" si="69"/>
        <v>99.798387096774192</v>
      </c>
    </row>
    <row r="332" spans="1:18" ht="78.75" x14ac:dyDescent="0.2">
      <c r="A332" s="42"/>
      <c r="B332" s="168" t="s">
        <v>465</v>
      </c>
      <c r="C332" s="169" t="s">
        <v>463</v>
      </c>
      <c r="D332" s="170"/>
      <c r="E332" s="171"/>
      <c r="F332" s="172"/>
      <c r="G332" s="172"/>
      <c r="H332" s="172"/>
      <c r="I332" s="188">
        <f>SUM(I333)</f>
        <v>100</v>
      </c>
      <c r="J332" s="189">
        <f>SUM(J333)</f>
        <v>0</v>
      </c>
      <c r="K332" s="189">
        <f>SUM(K333)</f>
        <v>100</v>
      </c>
      <c r="L332" s="172">
        <f t="shared" ref="L332:N333" si="80">SUM(I332)</f>
        <v>100</v>
      </c>
      <c r="M332" s="172">
        <f t="shared" si="80"/>
        <v>0</v>
      </c>
      <c r="N332" s="395">
        <f t="shared" si="80"/>
        <v>100</v>
      </c>
      <c r="O332" s="395">
        <f>SUM(L332)</f>
        <v>100</v>
      </c>
      <c r="P332" s="315"/>
      <c r="Q332" s="367"/>
      <c r="R332" s="401">
        <f t="shared" si="69"/>
        <v>100</v>
      </c>
    </row>
    <row r="333" spans="1:18" ht="63" x14ac:dyDescent="0.2">
      <c r="A333" s="42"/>
      <c r="B333" s="168" t="s">
        <v>35</v>
      </c>
      <c r="C333" s="169" t="s">
        <v>464</v>
      </c>
      <c r="D333" s="170" t="s">
        <v>36</v>
      </c>
      <c r="E333" s="171"/>
      <c r="F333" s="172"/>
      <c r="G333" s="172"/>
      <c r="H333" s="172"/>
      <c r="I333" s="188">
        <v>100</v>
      </c>
      <c r="J333" s="189"/>
      <c r="K333" s="188">
        <v>100</v>
      </c>
      <c r="L333" s="172">
        <f t="shared" si="80"/>
        <v>100</v>
      </c>
      <c r="M333" s="172">
        <f t="shared" si="80"/>
        <v>0</v>
      </c>
      <c r="N333" s="395">
        <f t="shared" si="80"/>
        <v>100</v>
      </c>
      <c r="O333" s="309">
        <v>100</v>
      </c>
      <c r="P333" s="319"/>
      <c r="Q333" s="303"/>
      <c r="R333" s="401">
        <f t="shared" si="69"/>
        <v>100</v>
      </c>
    </row>
    <row r="334" spans="1:18" ht="63" x14ac:dyDescent="0.2">
      <c r="A334" s="42" t="s">
        <v>335</v>
      </c>
      <c r="B334" s="168" t="s">
        <v>336</v>
      </c>
      <c r="C334" s="169" t="s">
        <v>337</v>
      </c>
      <c r="D334" s="170" t="s">
        <v>26</v>
      </c>
      <c r="E334" s="171"/>
      <c r="F334" s="172">
        <f>F335+F345+F342</f>
        <v>43668.800000000003</v>
      </c>
      <c r="G334" s="172">
        <f>G335+G345+G342</f>
        <v>0</v>
      </c>
      <c r="H334" s="172">
        <f>H335+H345+H342</f>
        <v>43668.800000000003</v>
      </c>
      <c r="I334" s="188">
        <f>I335+I345</f>
        <v>106001.5</v>
      </c>
      <c r="J334" s="172">
        <f>J335+J345</f>
        <v>0</v>
      </c>
      <c r="K334" s="188">
        <f>K335+K345</f>
        <v>106001.5</v>
      </c>
      <c r="L334" s="172">
        <f>L335+L345+L342</f>
        <v>149670.29999999999</v>
      </c>
      <c r="M334" s="172">
        <f>SUM(J334)+G334</f>
        <v>0</v>
      </c>
      <c r="N334" s="395">
        <f>N335+N345+N342</f>
        <v>149670.29999999999</v>
      </c>
      <c r="O334" s="395">
        <f>O335+O345+O342</f>
        <v>91864</v>
      </c>
      <c r="P334" s="315"/>
      <c r="Q334" s="367"/>
      <c r="R334" s="401">
        <f t="shared" si="69"/>
        <v>61.377574575583807</v>
      </c>
    </row>
    <row r="335" spans="1:18" ht="18.75" x14ac:dyDescent="0.2">
      <c r="A335" s="368"/>
      <c r="B335" s="206" t="s">
        <v>338</v>
      </c>
      <c r="C335" s="207" t="s">
        <v>339</v>
      </c>
      <c r="D335" s="208" t="s">
        <v>26</v>
      </c>
      <c r="E335" s="209"/>
      <c r="F335" s="210">
        <f t="shared" ref="F335:O335" si="81">F336</f>
        <v>27047.8</v>
      </c>
      <c r="G335" s="210">
        <f t="shared" si="81"/>
        <v>0</v>
      </c>
      <c r="H335" s="210">
        <f t="shared" si="81"/>
        <v>27047.8</v>
      </c>
      <c r="I335" s="211">
        <f t="shared" si="81"/>
        <v>101001.5</v>
      </c>
      <c r="J335" s="210">
        <f t="shared" si="81"/>
        <v>0</v>
      </c>
      <c r="K335" s="211">
        <f t="shared" si="81"/>
        <v>101001.5</v>
      </c>
      <c r="L335" s="210">
        <f t="shared" si="81"/>
        <v>128049.29999999999</v>
      </c>
      <c r="M335" s="210">
        <f t="shared" si="81"/>
        <v>0</v>
      </c>
      <c r="N335" s="397">
        <f t="shared" si="81"/>
        <v>128049.29999999999</v>
      </c>
      <c r="O335" s="397">
        <f t="shared" si="81"/>
        <v>70243</v>
      </c>
      <c r="P335" s="369"/>
      <c r="Q335" s="367"/>
      <c r="R335" s="401">
        <f t="shared" si="69"/>
        <v>54.856215535735068</v>
      </c>
    </row>
    <row r="336" spans="1:18" ht="78.75" x14ac:dyDescent="0.2">
      <c r="A336" s="42"/>
      <c r="B336" s="168" t="s">
        <v>340</v>
      </c>
      <c r="C336" s="169" t="s">
        <v>341</v>
      </c>
      <c r="D336" s="170" t="s">
        <v>26</v>
      </c>
      <c r="E336" s="171"/>
      <c r="F336" s="172">
        <f>F337+F340</f>
        <v>27047.8</v>
      </c>
      <c r="G336" s="172">
        <f>G337+G340</f>
        <v>0</v>
      </c>
      <c r="H336" s="172">
        <f>H337+H340</f>
        <v>27047.8</v>
      </c>
      <c r="I336" s="188">
        <f>I337+I340</f>
        <v>101001.5</v>
      </c>
      <c r="J336" s="189">
        <f>SUM(J340)</f>
        <v>0</v>
      </c>
      <c r="K336" s="188">
        <f>K337+K340</f>
        <v>101001.5</v>
      </c>
      <c r="L336" s="172">
        <f>L337+L340</f>
        <v>128049.29999999999</v>
      </c>
      <c r="M336" s="172">
        <f>M337+M340</f>
        <v>0</v>
      </c>
      <c r="N336" s="395">
        <f>N337+N340</f>
        <v>128049.29999999999</v>
      </c>
      <c r="O336" s="395">
        <f>O337+O340</f>
        <v>70243</v>
      </c>
      <c r="P336" s="315"/>
      <c r="Q336" s="367"/>
      <c r="R336" s="401">
        <f t="shared" si="69"/>
        <v>54.856215535735068</v>
      </c>
    </row>
    <row r="337" spans="1:18" ht="36" customHeight="1" x14ac:dyDescent="0.2">
      <c r="A337" s="42"/>
      <c r="B337" s="168" t="s">
        <v>342</v>
      </c>
      <c r="C337" s="169" t="s">
        <v>343</v>
      </c>
      <c r="D337" s="170" t="s">
        <v>26</v>
      </c>
      <c r="E337" s="171"/>
      <c r="F337" s="172">
        <f>F338+F339</f>
        <v>10605.599999999999</v>
      </c>
      <c r="G337" s="172">
        <f>G338+G339</f>
        <v>0</v>
      </c>
      <c r="H337" s="172">
        <f>H338+H339</f>
        <v>10605.599999999999</v>
      </c>
      <c r="I337" s="188">
        <f>I338+I339</f>
        <v>0</v>
      </c>
      <c r="J337" s="189"/>
      <c r="K337" s="188">
        <f>K338+K339</f>
        <v>0</v>
      </c>
      <c r="L337" s="172">
        <f>L338+L339</f>
        <v>10605.599999999999</v>
      </c>
      <c r="M337" s="172">
        <f>M338+M339</f>
        <v>0</v>
      </c>
      <c r="N337" s="395">
        <f>N338+N339</f>
        <v>10605.599999999999</v>
      </c>
      <c r="O337" s="395">
        <f>O338+O339</f>
        <v>8347.2000000000007</v>
      </c>
      <c r="P337" s="315"/>
      <c r="Q337" s="367"/>
      <c r="R337" s="401">
        <f t="shared" si="69"/>
        <v>78.705589499886869</v>
      </c>
    </row>
    <row r="338" spans="1:18" ht="63" x14ac:dyDescent="0.2">
      <c r="A338" s="42"/>
      <c r="B338" s="168" t="s">
        <v>35</v>
      </c>
      <c r="C338" s="169" t="s">
        <v>343</v>
      </c>
      <c r="D338" s="170" t="s">
        <v>36</v>
      </c>
      <c r="E338" s="171"/>
      <c r="F338" s="172">
        <v>2213.6999999999998</v>
      </c>
      <c r="G338" s="172"/>
      <c r="H338" s="172">
        <f>F338+G338</f>
        <v>2213.6999999999998</v>
      </c>
      <c r="I338" s="188">
        <v>0</v>
      </c>
      <c r="J338" s="189"/>
      <c r="K338" s="188">
        <v>0</v>
      </c>
      <c r="L338" s="172">
        <f t="shared" ref="L338:N339" si="82">SUM(F338)</f>
        <v>2213.6999999999998</v>
      </c>
      <c r="M338" s="172">
        <f t="shared" si="82"/>
        <v>0</v>
      </c>
      <c r="N338" s="395">
        <f t="shared" si="82"/>
        <v>2213.6999999999998</v>
      </c>
      <c r="O338" s="309">
        <v>1628.1</v>
      </c>
      <c r="P338" s="319"/>
      <c r="Q338" s="303"/>
      <c r="R338" s="401">
        <f t="shared" si="69"/>
        <v>73.546551023173876</v>
      </c>
    </row>
    <row r="339" spans="1:18" ht="47.25" x14ac:dyDescent="0.2">
      <c r="A339" s="42"/>
      <c r="B339" s="168" t="s">
        <v>131</v>
      </c>
      <c r="C339" s="169" t="s">
        <v>343</v>
      </c>
      <c r="D339" s="170" t="s">
        <v>132</v>
      </c>
      <c r="E339" s="171"/>
      <c r="F339" s="172">
        <v>8391.9</v>
      </c>
      <c r="G339" s="172"/>
      <c r="H339" s="172">
        <f>SUM(F339)+G339</f>
        <v>8391.9</v>
      </c>
      <c r="I339" s="188">
        <v>0</v>
      </c>
      <c r="J339" s="189"/>
      <c r="K339" s="188">
        <v>0</v>
      </c>
      <c r="L339" s="172">
        <f>SUM(F339)</f>
        <v>8391.9</v>
      </c>
      <c r="M339" s="172">
        <f t="shared" si="82"/>
        <v>0</v>
      </c>
      <c r="N339" s="395">
        <f>SUM(H339)</f>
        <v>8391.9</v>
      </c>
      <c r="O339" s="309">
        <v>6719.1</v>
      </c>
      <c r="P339" s="319"/>
      <c r="Q339" s="303"/>
      <c r="R339" s="401">
        <f t="shared" si="69"/>
        <v>80.066492689379061</v>
      </c>
    </row>
    <row r="340" spans="1:18" ht="31.5" x14ac:dyDescent="0.2">
      <c r="A340" s="42"/>
      <c r="B340" s="168" t="s">
        <v>344</v>
      </c>
      <c r="C340" s="169" t="s">
        <v>345</v>
      </c>
      <c r="D340" s="170" t="s">
        <v>26</v>
      </c>
      <c r="E340" s="171"/>
      <c r="F340" s="172">
        <f>F341</f>
        <v>16442.2</v>
      </c>
      <c r="G340" s="254">
        <f>G341</f>
        <v>0</v>
      </c>
      <c r="H340" s="172">
        <f>H341</f>
        <v>16442.2</v>
      </c>
      <c r="I340" s="188">
        <f>I341</f>
        <v>101001.5</v>
      </c>
      <c r="J340" s="189"/>
      <c r="K340" s="188">
        <f>K341</f>
        <v>101001.5</v>
      </c>
      <c r="L340" s="172">
        <f>L341</f>
        <v>117443.7</v>
      </c>
      <c r="M340" s="172">
        <f>M341</f>
        <v>0</v>
      </c>
      <c r="N340" s="395">
        <f>N341</f>
        <v>117443.7</v>
      </c>
      <c r="O340" s="309">
        <v>61895.8</v>
      </c>
      <c r="P340" s="319"/>
      <c r="Q340" s="303"/>
      <c r="R340" s="401">
        <f t="shared" si="69"/>
        <v>52.702528956427642</v>
      </c>
    </row>
    <row r="341" spans="1:18" ht="47.25" x14ac:dyDescent="0.2">
      <c r="A341" s="42"/>
      <c r="B341" s="168" t="s">
        <v>131</v>
      </c>
      <c r="C341" s="169" t="s">
        <v>345</v>
      </c>
      <c r="D341" s="170" t="s">
        <v>132</v>
      </c>
      <c r="E341" s="171"/>
      <c r="F341" s="172">
        <v>16442.2</v>
      </c>
      <c r="G341" s="172"/>
      <c r="H341" s="172">
        <f>SUM(F341)+G341</f>
        <v>16442.2</v>
      </c>
      <c r="I341" s="188">
        <v>101001.5</v>
      </c>
      <c r="J341" s="189"/>
      <c r="K341" s="188">
        <f>SUM(I341)+J341</f>
        <v>101001.5</v>
      </c>
      <c r="L341" s="172">
        <f>SUM(F341)+I341</f>
        <v>117443.7</v>
      </c>
      <c r="M341" s="172">
        <f>SUM(G341)+J341</f>
        <v>0</v>
      </c>
      <c r="N341" s="395">
        <f>SUM(H341)+K341</f>
        <v>117443.7</v>
      </c>
      <c r="O341" s="309">
        <v>61895.8</v>
      </c>
      <c r="P341" s="319"/>
      <c r="Q341" s="303"/>
      <c r="R341" s="401">
        <f t="shared" si="69"/>
        <v>52.702528956427642</v>
      </c>
    </row>
    <row r="342" spans="1:18" ht="0.75" customHeight="1" x14ac:dyDescent="0.2">
      <c r="A342" s="42"/>
      <c r="B342" s="168" t="s">
        <v>346</v>
      </c>
      <c r="C342" s="169" t="s">
        <v>347</v>
      </c>
      <c r="D342" s="170"/>
      <c r="E342" s="171"/>
      <c r="F342" s="172">
        <v>0</v>
      </c>
      <c r="G342" s="172">
        <f>SUM(G344)</f>
        <v>0</v>
      </c>
      <c r="H342" s="172">
        <f>SUM(F342:G342)</f>
        <v>0</v>
      </c>
      <c r="I342" s="188"/>
      <c r="J342" s="189"/>
      <c r="K342" s="188"/>
      <c r="L342" s="172">
        <f>SUM(F342)</f>
        <v>0</v>
      </c>
      <c r="M342" s="172">
        <f>SUM(G342)</f>
        <v>0</v>
      </c>
      <c r="N342" s="395">
        <f>SUM(H342)</f>
        <v>0</v>
      </c>
      <c r="O342" s="308"/>
      <c r="P342" s="320"/>
      <c r="Q342" s="303"/>
      <c r="R342" s="401" t="e">
        <f t="shared" si="69"/>
        <v>#DIV/0!</v>
      </c>
    </row>
    <row r="343" spans="1:18" ht="1.5" hidden="1" customHeight="1" x14ac:dyDescent="0.2">
      <c r="A343" s="42"/>
      <c r="B343" s="168"/>
      <c r="C343" s="169"/>
      <c r="D343" s="170"/>
      <c r="E343" s="171"/>
      <c r="F343" s="172"/>
      <c r="G343" s="172">
        <f>SUM(G344)</f>
        <v>0</v>
      </c>
      <c r="H343" s="172">
        <f>SUM(G343)</f>
        <v>0</v>
      </c>
      <c r="I343" s="188"/>
      <c r="J343" s="189"/>
      <c r="K343" s="188"/>
      <c r="L343" s="172"/>
      <c r="M343" s="172">
        <f>SUM(G343)</f>
        <v>0</v>
      </c>
      <c r="N343" s="395">
        <f>SUM(M343)</f>
        <v>0</v>
      </c>
      <c r="O343" s="308"/>
      <c r="P343" s="320"/>
      <c r="Q343" s="303"/>
      <c r="R343" s="401" t="e">
        <f t="shared" si="69"/>
        <v>#DIV/0!</v>
      </c>
    </row>
    <row r="344" spans="1:18" ht="47.25" hidden="1" x14ac:dyDescent="0.2">
      <c r="A344" s="42"/>
      <c r="B344" s="168" t="s">
        <v>131</v>
      </c>
      <c r="C344" s="169" t="s">
        <v>347</v>
      </c>
      <c r="D344" s="170" t="s">
        <v>132</v>
      </c>
      <c r="E344" s="171"/>
      <c r="F344" s="172">
        <v>0</v>
      </c>
      <c r="G344" s="172"/>
      <c r="H344" s="172">
        <f>SUM(F344:G344)</f>
        <v>0</v>
      </c>
      <c r="I344" s="188"/>
      <c r="J344" s="189"/>
      <c r="K344" s="188"/>
      <c r="L344" s="172">
        <f>SUM(F344)</f>
        <v>0</v>
      </c>
      <c r="M344" s="172">
        <f>SUM(G344)</f>
        <v>0</v>
      </c>
      <c r="N344" s="395">
        <f>SUM(H344)</f>
        <v>0</v>
      </c>
      <c r="O344" s="308"/>
      <c r="P344" s="320"/>
      <c r="Q344" s="303"/>
      <c r="R344" s="401" t="e">
        <f t="shared" si="69"/>
        <v>#DIV/0!</v>
      </c>
    </row>
    <row r="345" spans="1:18" ht="31.5" x14ac:dyDescent="0.2">
      <c r="A345" s="42"/>
      <c r="B345" s="206" t="s">
        <v>348</v>
      </c>
      <c r="C345" s="207" t="s">
        <v>349</v>
      </c>
      <c r="D345" s="208"/>
      <c r="E345" s="209"/>
      <c r="F345" s="210">
        <f>SUM(F347)</f>
        <v>16621</v>
      </c>
      <c r="G345" s="210">
        <f>SUM(G347)</f>
        <v>0</v>
      </c>
      <c r="H345" s="210">
        <f>SUM(H347)</f>
        <v>16621</v>
      </c>
      <c r="I345" s="188">
        <v>5000</v>
      </c>
      <c r="J345" s="210">
        <f>SUM(J347)</f>
        <v>0</v>
      </c>
      <c r="K345" s="189">
        <v>5000</v>
      </c>
      <c r="L345" s="210">
        <f>SUM(L347)+I345</f>
        <v>21621</v>
      </c>
      <c r="M345" s="210">
        <f>SUM(M347)</f>
        <v>0</v>
      </c>
      <c r="N345" s="395">
        <f>SUM(H345+K345)</f>
        <v>21621</v>
      </c>
      <c r="O345" s="395">
        <v>21621</v>
      </c>
      <c r="P345" s="315"/>
      <c r="Q345" s="367"/>
      <c r="R345" s="401">
        <f t="shared" si="69"/>
        <v>100</v>
      </c>
    </row>
    <row r="346" spans="1:18" ht="78.75" x14ac:dyDescent="0.2">
      <c r="A346" s="42"/>
      <c r="B346" s="168" t="s">
        <v>350</v>
      </c>
      <c r="C346" s="169" t="s">
        <v>351</v>
      </c>
      <c r="D346" s="170"/>
      <c r="E346" s="171"/>
      <c r="F346" s="172">
        <f>SUM(F347)</f>
        <v>16621</v>
      </c>
      <c r="G346" s="172">
        <f>SUM(G347)</f>
        <v>0</v>
      </c>
      <c r="H346" s="172">
        <f>SUM(H347)</f>
        <v>16621</v>
      </c>
      <c r="I346" s="188">
        <v>5000</v>
      </c>
      <c r="J346" s="189"/>
      <c r="K346" s="189">
        <v>5000</v>
      </c>
      <c r="L346" s="172">
        <f>SUM(L347)+I346</f>
        <v>21621</v>
      </c>
      <c r="M346" s="172">
        <f>SUM(M347)</f>
        <v>0</v>
      </c>
      <c r="N346" s="395">
        <f>SUM(N347)+K346</f>
        <v>21621</v>
      </c>
      <c r="O346" s="395">
        <f>SUM(O347+O350)</f>
        <v>21620.9</v>
      </c>
      <c r="P346" s="315"/>
      <c r="Q346" s="367"/>
      <c r="R346" s="401">
        <f t="shared" ref="R346:R409" si="83">SUM(O346/N346*100)</f>
        <v>99.999537486702749</v>
      </c>
    </row>
    <row r="347" spans="1:18" ht="31.5" x14ac:dyDescent="0.2">
      <c r="A347" s="42"/>
      <c r="B347" s="168" t="s">
        <v>348</v>
      </c>
      <c r="C347" s="169" t="s">
        <v>352</v>
      </c>
      <c r="D347" s="170"/>
      <c r="E347" s="171"/>
      <c r="F347" s="172">
        <f>F348+F349</f>
        <v>16621</v>
      </c>
      <c r="G347" s="172">
        <f>G348+G349</f>
        <v>0</v>
      </c>
      <c r="H347" s="172">
        <f>H348+H349</f>
        <v>16621</v>
      </c>
      <c r="I347" s="188"/>
      <c r="J347" s="189"/>
      <c r="K347" s="189"/>
      <c r="L347" s="172">
        <f>SUM(F347)+I347</f>
        <v>16621</v>
      </c>
      <c r="M347" s="172"/>
      <c r="N347" s="395">
        <f>SUM(H347)+K347</f>
        <v>16621</v>
      </c>
      <c r="O347" s="395">
        <f>SUM(O348+O349)</f>
        <v>16620.900000000001</v>
      </c>
      <c r="P347" s="315"/>
      <c r="Q347" s="367"/>
      <c r="R347" s="401">
        <f t="shared" si="83"/>
        <v>99.999398351483066</v>
      </c>
    </row>
    <row r="348" spans="1:18" ht="63" x14ac:dyDescent="0.2">
      <c r="A348" s="42"/>
      <c r="B348" s="168" t="s">
        <v>35</v>
      </c>
      <c r="C348" s="169" t="s">
        <v>352</v>
      </c>
      <c r="D348" s="170" t="s">
        <v>36</v>
      </c>
      <c r="E348" s="171"/>
      <c r="F348" s="172">
        <v>15090.2</v>
      </c>
      <c r="G348" s="172"/>
      <c r="H348" s="172">
        <f>SUM(F348:G348)</f>
        <v>15090.2</v>
      </c>
      <c r="I348" s="188"/>
      <c r="J348" s="189"/>
      <c r="K348" s="188">
        <f>SUM(I348)</f>
        <v>0</v>
      </c>
      <c r="L348" s="172">
        <f>SUM(F348)+I348</f>
        <v>15090.2</v>
      </c>
      <c r="M348" s="172">
        <f>SUM(G348)</f>
        <v>0</v>
      </c>
      <c r="N348" s="395">
        <f>SUM(H348)+K348</f>
        <v>15090.2</v>
      </c>
      <c r="O348" s="309">
        <v>15090.2</v>
      </c>
      <c r="P348" s="319"/>
      <c r="Q348" s="303"/>
      <c r="R348" s="401">
        <f t="shared" si="83"/>
        <v>100</v>
      </c>
    </row>
    <row r="349" spans="1:18" ht="47.25" x14ac:dyDescent="0.2">
      <c r="A349" s="42"/>
      <c r="B349" s="168" t="s">
        <v>131</v>
      </c>
      <c r="C349" s="169" t="s">
        <v>352</v>
      </c>
      <c r="D349" s="170" t="s">
        <v>132</v>
      </c>
      <c r="E349" s="171"/>
      <c r="F349" s="172">
        <v>1530.8</v>
      </c>
      <c r="G349" s="172"/>
      <c r="H349" s="172">
        <v>1530.8</v>
      </c>
      <c r="I349" s="188"/>
      <c r="J349" s="189"/>
      <c r="K349" s="188"/>
      <c r="L349" s="172">
        <f>SUM(F349)</f>
        <v>1530.8</v>
      </c>
      <c r="M349" s="172">
        <f>SUM(G349)</f>
        <v>0</v>
      </c>
      <c r="N349" s="395">
        <f>SUM(H349)</f>
        <v>1530.8</v>
      </c>
      <c r="O349" s="309">
        <v>1530.7</v>
      </c>
      <c r="P349" s="319"/>
      <c r="Q349" s="303"/>
      <c r="R349" s="401">
        <f t="shared" si="83"/>
        <v>99.993467467990598</v>
      </c>
    </row>
    <row r="350" spans="1:18" ht="47.25" x14ac:dyDescent="0.2">
      <c r="A350" s="42"/>
      <c r="B350" s="168" t="s">
        <v>497</v>
      </c>
      <c r="C350" s="169" t="s">
        <v>496</v>
      </c>
      <c r="D350" s="170"/>
      <c r="E350" s="171"/>
      <c r="F350" s="172"/>
      <c r="G350" s="172"/>
      <c r="H350" s="172"/>
      <c r="I350" s="188">
        <v>5000</v>
      </c>
      <c r="J350" s="189"/>
      <c r="K350" s="188">
        <f>SUM(I350)</f>
        <v>5000</v>
      </c>
      <c r="L350" s="172">
        <f>SUM(I350)</f>
        <v>5000</v>
      </c>
      <c r="M350" s="172"/>
      <c r="N350" s="395">
        <f>SUM(K350)</f>
        <v>5000</v>
      </c>
      <c r="O350" s="309">
        <v>5000</v>
      </c>
      <c r="P350" s="319"/>
      <c r="Q350" s="303"/>
      <c r="R350" s="401">
        <f t="shared" si="83"/>
        <v>100</v>
      </c>
    </row>
    <row r="351" spans="1:18" ht="63" x14ac:dyDescent="0.2">
      <c r="A351" s="42"/>
      <c r="B351" s="168" t="s">
        <v>35</v>
      </c>
      <c r="C351" s="169" t="s">
        <v>496</v>
      </c>
      <c r="D351" s="170" t="s">
        <v>36</v>
      </c>
      <c r="E351" s="171"/>
      <c r="F351" s="172"/>
      <c r="G351" s="172"/>
      <c r="H351" s="172"/>
      <c r="I351" s="188">
        <v>5000</v>
      </c>
      <c r="J351" s="189"/>
      <c r="K351" s="188">
        <f>SUM(I351)</f>
        <v>5000</v>
      </c>
      <c r="L351" s="172">
        <f>SUM(I351)</f>
        <v>5000</v>
      </c>
      <c r="M351" s="172"/>
      <c r="N351" s="395">
        <f>SUM(K351)</f>
        <v>5000</v>
      </c>
      <c r="O351" s="309">
        <v>5000</v>
      </c>
      <c r="P351" s="319"/>
      <c r="Q351" s="303"/>
      <c r="R351" s="401">
        <f t="shared" si="83"/>
        <v>100</v>
      </c>
    </row>
    <row r="352" spans="1:18" ht="47.25" x14ac:dyDescent="0.2">
      <c r="A352" s="42" t="s">
        <v>353</v>
      </c>
      <c r="B352" s="168" t="s">
        <v>354</v>
      </c>
      <c r="C352" s="169" t="s">
        <v>355</v>
      </c>
      <c r="D352" s="170" t="s">
        <v>26</v>
      </c>
      <c r="E352" s="171"/>
      <c r="F352" s="172">
        <f t="shared" ref="F352:O352" si="84">F353+F366+F372</f>
        <v>81886.299999999988</v>
      </c>
      <c r="G352" s="172">
        <f t="shared" si="84"/>
        <v>372</v>
      </c>
      <c r="H352" s="172">
        <f t="shared" si="84"/>
        <v>82258.299999999988</v>
      </c>
      <c r="I352" s="188">
        <f t="shared" si="84"/>
        <v>0</v>
      </c>
      <c r="J352" s="172">
        <f t="shared" si="84"/>
        <v>0</v>
      </c>
      <c r="K352" s="188">
        <f t="shared" si="84"/>
        <v>0</v>
      </c>
      <c r="L352" s="172">
        <f t="shared" si="84"/>
        <v>81886.299999999988</v>
      </c>
      <c r="M352" s="172">
        <f t="shared" si="84"/>
        <v>372</v>
      </c>
      <c r="N352" s="395">
        <f t="shared" si="84"/>
        <v>82258.299999999988</v>
      </c>
      <c r="O352" s="395">
        <f t="shared" si="84"/>
        <v>79670.100000000006</v>
      </c>
      <c r="P352" s="315"/>
      <c r="Q352" s="310"/>
      <c r="R352" s="401">
        <f t="shared" si="83"/>
        <v>96.853569791741407</v>
      </c>
    </row>
    <row r="353" spans="1:18" ht="31.5" x14ac:dyDescent="0.2">
      <c r="A353" s="368"/>
      <c r="B353" s="206" t="s">
        <v>356</v>
      </c>
      <c r="C353" s="207" t="s">
        <v>357</v>
      </c>
      <c r="D353" s="208" t="s">
        <v>26</v>
      </c>
      <c r="E353" s="209"/>
      <c r="F353" s="210">
        <f t="shared" ref="F353:O353" si="85">F354+F359</f>
        <v>56502.1</v>
      </c>
      <c r="G353" s="210">
        <f t="shared" si="85"/>
        <v>372</v>
      </c>
      <c r="H353" s="210">
        <f t="shared" si="85"/>
        <v>56874.1</v>
      </c>
      <c r="I353" s="211">
        <f t="shared" si="85"/>
        <v>0</v>
      </c>
      <c r="J353" s="210">
        <f t="shared" si="85"/>
        <v>0</v>
      </c>
      <c r="K353" s="211">
        <f t="shared" si="85"/>
        <v>0</v>
      </c>
      <c r="L353" s="210">
        <f t="shared" si="85"/>
        <v>56502.1</v>
      </c>
      <c r="M353" s="210">
        <f t="shared" si="85"/>
        <v>372</v>
      </c>
      <c r="N353" s="397">
        <f t="shared" si="85"/>
        <v>56874.1</v>
      </c>
      <c r="O353" s="397">
        <f t="shared" si="85"/>
        <v>54637.5</v>
      </c>
      <c r="P353" s="369"/>
      <c r="Q353" s="377"/>
      <c r="R353" s="401">
        <f t="shared" si="83"/>
        <v>96.067454254221161</v>
      </c>
    </row>
    <row r="354" spans="1:18" ht="31.5" x14ac:dyDescent="0.2">
      <c r="A354" s="42"/>
      <c r="B354" s="168" t="s">
        <v>358</v>
      </c>
      <c r="C354" s="169" t="s">
        <v>359</v>
      </c>
      <c r="D354" s="170" t="s">
        <v>26</v>
      </c>
      <c r="E354" s="171"/>
      <c r="F354" s="172">
        <f>F355</f>
        <v>42575.5</v>
      </c>
      <c r="G354" s="172">
        <f>G355</f>
        <v>0</v>
      </c>
      <c r="H354" s="172">
        <f>H355</f>
        <v>42575.5</v>
      </c>
      <c r="I354" s="188">
        <f>I355</f>
        <v>0</v>
      </c>
      <c r="J354" s="189"/>
      <c r="K354" s="188">
        <f>K355</f>
        <v>0</v>
      </c>
      <c r="L354" s="172">
        <f>L355</f>
        <v>42575.5</v>
      </c>
      <c r="M354" s="172">
        <f>M355</f>
        <v>0</v>
      </c>
      <c r="N354" s="395">
        <f>N355</f>
        <v>42575.5</v>
      </c>
      <c r="O354" s="395">
        <f>O355</f>
        <v>40443.699999999997</v>
      </c>
      <c r="P354" s="315"/>
      <c r="Q354" s="367"/>
      <c r="R354" s="401">
        <f t="shared" si="83"/>
        <v>94.992894974809445</v>
      </c>
    </row>
    <row r="355" spans="1:18" ht="47.25" x14ac:dyDescent="0.2">
      <c r="A355" s="42"/>
      <c r="B355" s="168" t="s">
        <v>39</v>
      </c>
      <c r="C355" s="169" t="s">
        <v>360</v>
      </c>
      <c r="D355" s="170" t="s">
        <v>26</v>
      </c>
      <c r="E355" s="171"/>
      <c r="F355" s="172">
        <f>F356+F357+F358</f>
        <v>42575.5</v>
      </c>
      <c r="G355" s="172">
        <f>G356+G357</f>
        <v>0</v>
      </c>
      <c r="H355" s="172">
        <f>H356+H357+H358</f>
        <v>42575.5</v>
      </c>
      <c r="I355" s="188">
        <f>I356+I357+I358</f>
        <v>0</v>
      </c>
      <c r="J355" s="189"/>
      <c r="K355" s="188">
        <f>K356+K357+K358</f>
        <v>0</v>
      </c>
      <c r="L355" s="172">
        <f>L356+L357+L358</f>
        <v>42575.5</v>
      </c>
      <c r="M355" s="172">
        <f>M356+M357+M358</f>
        <v>0</v>
      </c>
      <c r="N355" s="395">
        <f>N356+N357+N358</f>
        <v>42575.5</v>
      </c>
      <c r="O355" s="395">
        <f>O356+O357+O358</f>
        <v>40443.699999999997</v>
      </c>
      <c r="P355" s="315"/>
      <c r="Q355" s="367"/>
      <c r="R355" s="401">
        <f t="shared" si="83"/>
        <v>94.992894974809445</v>
      </c>
    </row>
    <row r="356" spans="1:18" ht="64.150000000000006" customHeight="1" x14ac:dyDescent="0.2">
      <c r="A356" s="42"/>
      <c r="B356" s="168" t="s">
        <v>31</v>
      </c>
      <c r="C356" s="169" t="s">
        <v>360</v>
      </c>
      <c r="D356" s="170" t="s">
        <v>32</v>
      </c>
      <c r="E356" s="171"/>
      <c r="F356" s="172">
        <v>27844.5</v>
      </c>
      <c r="G356" s="172"/>
      <c r="H356" s="172">
        <f>SUM(F356)+G356</f>
        <v>27844.5</v>
      </c>
      <c r="I356" s="188">
        <v>0</v>
      </c>
      <c r="J356" s="189"/>
      <c r="K356" s="188">
        <v>0</v>
      </c>
      <c r="L356" s="172">
        <f t="shared" ref="L356:N357" si="86">SUM(F356)</f>
        <v>27844.5</v>
      </c>
      <c r="M356" s="172">
        <f t="shared" si="86"/>
        <v>0</v>
      </c>
      <c r="N356" s="395">
        <f t="shared" si="86"/>
        <v>27844.5</v>
      </c>
      <c r="O356" s="309">
        <v>27862.400000000001</v>
      </c>
      <c r="P356" s="319"/>
      <c r="Q356" s="303"/>
      <c r="R356" s="401">
        <f t="shared" si="83"/>
        <v>100.06428558602238</v>
      </c>
    </row>
    <row r="357" spans="1:18" ht="63" x14ac:dyDescent="0.2">
      <c r="A357" s="42"/>
      <c r="B357" s="168" t="s">
        <v>35</v>
      </c>
      <c r="C357" s="169" t="s">
        <v>360</v>
      </c>
      <c r="D357" s="170" t="s">
        <v>36</v>
      </c>
      <c r="E357" s="171"/>
      <c r="F357" s="172">
        <v>14653.6</v>
      </c>
      <c r="G357" s="172"/>
      <c r="H357" s="172">
        <f>SUM(F357)+G357</f>
        <v>14653.6</v>
      </c>
      <c r="I357" s="188">
        <v>0</v>
      </c>
      <c r="J357" s="189"/>
      <c r="K357" s="188">
        <v>0</v>
      </c>
      <c r="L357" s="172">
        <f t="shared" si="86"/>
        <v>14653.6</v>
      </c>
      <c r="M357" s="172">
        <f>SUM(G357)</f>
        <v>0</v>
      </c>
      <c r="N357" s="395">
        <f t="shared" si="86"/>
        <v>14653.6</v>
      </c>
      <c r="O357" s="309">
        <v>12533.8</v>
      </c>
      <c r="P357" s="319"/>
      <c r="Q357" s="303"/>
      <c r="R357" s="401">
        <f t="shared" si="83"/>
        <v>85.533930228749242</v>
      </c>
    </row>
    <row r="358" spans="1:18" ht="18.75" x14ac:dyDescent="0.2">
      <c r="A358" s="42"/>
      <c r="B358" s="168" t="s">
        <v>41</v>
      </c>
      <c r="C358" s="169" t="s">
        <v>360</v>
      </c>
      <c r="D358" s="170" t="s">
        <v>42</v>
      </c>
      <c r="E358" s="171"/>
      <c r="F358" s="172">
        <v>77.400000000000006</v>
      </c>
      <c r="G358" s="172"/>
      <c r="H358" s="172">
        <v>77.400000000000006</v>
      </c>
      <c r="I358" s="188">
        <v>0</v>
      </c>
      <c r="J358" s="189"/>
      <c r="K358" s="188">
        <v>0</v>
      </c>
      <c r="L358" s="172">
        <v>77.400000000000006</v>
      </c>
      <c r="M358" s="172"/>
      <c r="N358" s="395">
        <v>77.400000000000006</v>
      </c>
      <c r="O358" s="309">
        <v>47.5</v>
      </c>
      <c r="P358" s="319"/>
      <c r="Q358" s="303"/>
      <c r="R358" s="401">
        <f t="shared" si="83"/>
        <v>61.369509043927636</v>
      </c>
    </row>
    <row r="359" spans="1:18" ht="63" x14ac:dyDescent="0.2">
      <c r="A359" s="42"/>
      <c r="B359" s="168" t="s">
        <v>361</v>
      </c>
      <c r="C359" s="169" t="s">
        <v>362</v>
      </c>
      <c r="D359" s="170" t="s">
        <v>26</v>
      </c>
      <c r="E359" s="171"/>
      <c r="F359" s="172">
        <f>F360+F363</f>
        <v>13926.6</v>
      </c>
      <c r="G359" s="172">
        <f>G360+G363</f>
        <v>372</v>
      </c>
      <c r="H359" s="172">
        <f>H360+H363</f>
        <v>14298.6</v>
      </c>
      <c r="I359" s="188">
        <f>I360+I363</f>
        <v>0</v>
      </c>
      <c r="J359" s="189"/>
      <c r="K359" s="188">
        <f>K360+K363</f>
        <v>0</v>
      </c>
      <c r="L359" s="172">
        <f>L360+L363</f>
        <v>13926.6</v>
      </c>
      <c r="M359" s="172">
        <f>M360+M363</f>
        <v>372</v>
      </c>
      <c r="N359" s="395">
        <f>N360+N363</f>
        <v>14298.6</v>
      </c>
      <c r="O359" s="395">
        <f>O360+O363</f>
        <v>14193.8</v>
      </c>
      <c r="P359" s="315"/>
      <c r="Q359" s="367"/>
      <c r="R359" s="401">
        <f t="shared" si="83"/>
        <v>99.267061110877989</v>
      </c>
    </row>
    <row r="360" spans="1:18" ht="47.25" x14ac:dyDescent="0.2">
      <c r="A360" s="42"/>
      <c r="B360" s="168" t="s">
        <v>39</v>
      </c>
      <c r="C360" s="169" t="s">
        <v>363</v>
      </c>
      <c r="D360" s="170" t="s">
        <v>26</v>
      </c>
      <c r="E360" s="171"/>
      <c r="F360" s="172">
        <f>F361+F362</f>
        <v>10245</v>
      </c>
      <c r="G360" s="172">
        <f>G361+G362</f>
        <v>170.6</v>
      </c>
      <c r="H360" s="172">
        <f>H361+H362</f>
        <v>10415.6</v>
      </c>
      <c r="I360" s="188">
        <f>I361+I362</f>
        <v>0</v>
      </c>
      <c r="J360" s="189"/>
      <c r="K360" s="188">
        <f>K361+K362</f>
        <v>0</v>
      </c>
      <c r="L360" s="172">
        <f>L361+L362</f>
        <v>10245</v>
      </c>
      <c r="M360" s="172">
        <f>M361+M362</f>
        <v>170.6</v>
      </c>
      <c r="N360" s="395">
        <f>N361+N362</f>
        <v>10415.6</v>
      </c>
      <c r="O360" s="395">
        <f>O361+O362</f>
        <v>10384</v>
      </c>
      <c r="P360" s="315"/>
      <c r="Q360" s="367"/>
      <c r="R360" s="401">
        <f t="shared" si="83"/>
        <v>99.696608932754714</v>
      </c>
    </row>
    <row r="361" spans="1:18" ht="64.150000000000006" customHeight="1" x14ac:dyDescent="0.2">
      <c r="A361" s="42"/>
      <c r="B361" s="168" t="s">
        <v>31</v>
      </c>
      <c r="C361" s="169" t="s">
        <v>363</v>
      </c>
      <c r="D361" s="170" t="s">
        <v>32</v>
      </c>
      <c r="E361" s="171"/>
      <c r="F361" s="172">
        <v>9545</v>
      </c>
      <c r="G361" s="172">
        <v>-10.1</v>
      </c>
      <c r="H361" s="172">
        <f>SUM(F361)+G361</f>
        <v>9534.9</v>
      </c>
      <c r="I361" s="188">
        <v>0</v>
      </c>
      <c r="J361" s="189"/>
      <c r="K361" s="188">
        <v>0</v>
      </c>
      <c r="L361" s="172">
        <f>SUM(F361)</f>
        <v>9545</v>
      </c>
      <c r="M361" s="172">
        <f>SUM(G361)</f>
        <v>-10.1</v>
      </c>
      <c r="N361" s="395">
        <f>SUM(H361)</f>
        <v>9534.9</v>
      </c>
      <c r="O361" s="309">
        <v>9504</v>
      </c>
      <c r="P361" s="319"/>
      <c r="Q361" s="303"/>
      <c r="R361" s="401">
        <f t="shared" si="83"/>
        <v>99.675927382563017</v>
      </c>
    </row>
    <row r="362" spans="1:18" ht="63" x14ac:dyDescent="0.2">
      <c r="A362" s="42"/>
      <c r="B362" s="168" t="s">
        <v>35</v>
      </c>
      <c r="C362" s="169" t="s">
        <v>363</v>
      </c>
      <c r="D362" s="170" t="s">
        <v>36</v>
      </c>
      <c r="E362" s="171"/>
      <c r="F362" s="172">
        <v>700</v>
      </c>
      <c r="G362" s="172">
        <f>10.1+120.6+50</f>
        <v>180.7</v>
      </c>
      <c r="H362" s="172">
        <f>700+G362</f>
        <v>880.7</v>
      </c>
      <c r="I362" s="188">
        <v>0</v>
      </c>
      <c r="J362" s="189"/>
      <c r="K362" s="188">
        <v>0</v>
      </c>
      <c r="L362" s="172">
        <v>700</v>
      </c>
      <c r="M362" s="172">
        <f>SUM(G362)</f>
        <v>180.7</v>
      </c>
      <c r="N362" s="395">
        <f>700+M362</f>
        <v>880.7</v>
      </c>
      <c r="O362" s="309">
        <v>880</v>
      </c>
      <c r="P362" s="319"/>
      <c r="Q362" s="303"/>
      <c r="R362" s="401">
        <f t="shared" si="83"/>
        <v>99.920517769955708</v>
      </c>
    </row>
    <row r="363" spans="1:18" ht="63" x14ac:dyDescent="0.2">
      <c r="A363" s="42"/>
      <c r="B363" s="168" t="s">
        <v>364</v>
      </c>
      <c r="C363" s="169" t="s">
        <v>365</v>
      </c>
      <c r="D363" s="170" t="s">
        <v>26</v>
      </c>
      <c r="E363" s="171"/>
      <c r="F363" s="172">
        <f>F364+F365</f>
        <v>3681.6000000000004</v>
      </c>
      <c r="G363" s="172">
        <f>SUM(G364)+G365</f>
        <v>201.4</v>
      </c>
      <c r="H363" s="172">
        <f>H364+H365</f>
        <v>3883</v>
      </c>
      <c r="I363" s="188">
        <f>I364+I365</f>
        <v>0</v>
      </c>
      <c r="J363" s="189"/>
      <c r="K363" s="188">
        <f>K364+K365</f>
        <v>0</v>
      </c>
      <c r="L363" s="172">
        <f>SUM(F363)</f>
        <v>3681.6000000000004</v>
      </c>
      <c r="M363" s="172">
        <f>SUM(M364)+M365</f>
        <v>201.4</v>
      </c>
      <c r="N363" s="395">
        <f>M363+L363</f>
        <v>3883.0000000000005</v>
      </c>
      <c r="O363" s="395">
        <f>SUM(O364+O365)</f>
        <v>3809.8</v>
      </c>
      <c r="P363" s="315"/>
      <c r="Q363" s="367"/>
      <c r="R363" s="401">
        <f t="shared" si="83"/>
        <v>98.114859644604678</v>
      </c>
    </row>
    <row r="364" spans="1:18" ht="63" x14ac:dyDescent="0.2">
      <c r="A364" s="42"/>
      <c r="B364" s="168" t="s">
        <v>35</v>
      </c>
      <c r="C364" s="169" t="s">
        <v>365</v>
      </c>
      <c r="D364" s="170" t="s">
        <v>36</v>
      </c>
      <c r="E364" s="171"/>
      <c r="F364" s="172">
        <v>2360.9</v>
      </c>
      <c r="G364" s="172">
        <f>124.7+76.7</f>
        <v>201.4</v>
      </c>
      <c r="H364" s="172">
        <f>SUM(F364)+G364</f>
        <v>2562.3000000000002</v>
      </c>
      <c r="I364" s="188">
        <v>0</v>
      </c>
      <c r="J364" s="189"/>
      <c r="K364" s="188">
        <v>0</v>
      </c>
      <c r="L364" s="172">
        <f>F364+I364</f>
        <v>2360.9</v>
      </c>
      <c r="M364" s="172">
        <f>SUM(G364)</f>
        <v>201.4</v>
      </c>
      <c r="N364" s="395">
        <f>H364+K364</f>
        <v>2562.3000000000002</v>
      </c>
      <c r="O364" s="309">
        <v>2489.1</v>
      </c>
      <c r="P364" s="319"/>
      <c r="Q364" s="303"/>
      <c r="R364" s="401">
        <f t="shared" si="83"/>
        <v>97.1431916637396</v>
      </c>
    </row>
    <row r="365" spans="1:18" ht="18.75" x14ac:dyDescent="0.2">
      <c r="A365" s="42"/>
      <c r="B365" s="168" t="s">
        <v>41</v>
      </c>
      <c r="C365" s="169" t="s">
        <v>365</v>
      </c>
      <c r="D365" s="170" t="s">
        <v>42</v>
      </c>
      <c r="E365" s="171"/>
      <c r="F365" s="172">
        <v>1320.7</v>
      </c>
      <c r="G365" s="172"/>
      <c r="H365" s="172">
        <v>1320.7</v>
      </c>
      <c r="I365" s="188">
        <v>0</v>
      </c>
      <c r="J365" s="189"/>
      <c r="K365" s="188">
        <v>0</v>
      </c>
      <c r="L365" s="172">
        <f>SUM(F365)</f>
        <v>1320.7</v>
      </c>
      <c r="M365" s="172">
        <f>SUM(G365)</f>
        <v>0</v>
      </c>
      <c r="N365" s="395">
        <f>SUM(L365:M365)</f>
        <v>1320.7</v>
      </c>
      <c r="O365" s="309">
        <v>1320.7</v>
      </c>
      <c r="P365" s="319"/>
      <c r="Q365" s="303"/>
      <c r="R365" s="401">
        <f t="shared" si="83"/>
        <v>100</v>
      </c>
    </row>
    <row r="366" spans="1:18" ht="18.75" x14ac:dyDescent="0.2">
      <c r="A366" s="368"/>
      <c r="B366" s="206" t="s">
        <v>366</v>
      </c>
      <c r="C366" s="207" t="s">
        <v>367</v>
      </c>
      <c r="D366" s="208" t="s">
        <v>26</v>
      </c>
      <c r="E366" s="209"/>
      <c r="F366" s="210">
        <f t="shared" ref="F366:O366" si="87">F367</f>
        <v>35.200000000000003</v>
      </c>
      <c r="G366" s="210">
        <f t="shared" si="87"/>
        <v>0</v>
      </c>
      <c r="H366" s="210">
        <f t="shared" si="87"/>
        <v>35.200000000000003</v>
      </c>
      <c r="I366" s="211">
        <f t="shared" si="87"/>
        <v>0</v>
      </c>
      <c r="J366" s="210">
        <f t="shared" si="87"/>
        <v>0</v>
      </c>
      <c r="K366" s="211">
        <f t="shared" si="87"/>
        <v>0</v>
      </c>
      <c r="L366" s="210">
        <f t="shared" si="87"/>
        <v>35.200000000000003</v>
      </c>
      <c r="M366" s="210">
        <f t="shared" si="87"/>
        <v>0</v>
      </c>
      <c r="N366" s="397">
        <f t="shared" si="87"/>
        <v>35.200000000000003</v>
      </c>
      <c r="O366" s="397">
        <f t="shared" si="87"/>
        <v>22.6</v>
      </c>
      <c r="P366" s="369"/>
      <c r="Q366" s="303"/>
      <c r="R366" s="401">
        <f t="shared" si="83"/>
        <v>64.204545454545453</v>
      </c>
    </row>
    <row r="367" spans="1:18" ht="39" customHeight="1" x14ac:dyDescent="0.2">
      <c r="A367" s="42"/>
      <c r="B367" s="168" t="s">
        <v>368</v>
      </c>
      <c r="C367" s="169" t="s">
        <v>369</v>
      </c>
      <c r="D367" s="170" t="s">
        <v>26</v>
      </c>
      <c r="E367" s="171"/>
      <c r="F367" s="172">
        <f>F368+F370</f>
        <v>35.200000000000003</v>
      </c>
      <c r="G367" s="172">
        <f>G368+G370</f>
        <v>0</v>
      </c>
      <c r="H367" s="172">
        <f>H368+H370</f>
        <v>35.200000000000003</v>
      </c>
      <c r="I367" s="188">
        <f>I368+I370</f>
        <v>0</v>
      </c>
      <c r="J367" s="189"/>
      <c r="K367" s="188">
        <f>K368+K370</f>
        <v>0</v>
      </c>
      <c r="L367" s="172">
        <f>L368+L370</f>
        <v>35.200000000000003</v>
      </c>
      <c r="M367" s="172">
        <f>M368+M370</f>
        <v>0</v>
      </c>
      <c r="N367" s="395">
        <f>N368+N370</f>
        <v>35.200000000000003</v>
      </c>
      <c r="O367" s="395">
        <f>O368+O370</f>
        <v>22.6</v>
      </c>
      <c r="P367" s="315"/>
      <c r="Q367" s="303"/>
      <c r="R367" s="401">
        <f t="shared" si="83"/>
        <v>64.204545454545453</v>
      </c>
    </row>
    <row r="368" spans="1:18" ht="31.5" x14ac:dyDescent="0.2">
      <c r="A368" s="42"/>
      <c r="B368" s="168" t="s">
        <v>370</v>
      </c>
      <c r="C368" s="169" t="s">
        <v>371</v>
      </c>
      <c r="D368" s="170" t="s">
        <v>26</v>
      </c>
      <c r="E368" s="171"/>
      <c r="F368" s="172">
        <f>F369</f>
        <v>20.5</v>
      </c>
      <c r="G368" s="172">
        <f>G369</f>
        <v>0</v>
      </c>
      <c r="H368" s="172">
        <f>H369</f>
        <v>20.5</v>
      </c>
      <c r="I368" s="188">
        <f>I369</f>
        <v>0</v>
      </c>
      <c r="J368" s="189"/>
      <c r="K368" s="188">
        <f>K369</f>
        <v>0</v>
      </c>
      <c r="L368" s="172">
        <f>L369</f>
        <v>20.5</v>
      </c>
      <c r="M368" s="172">
        <f>M369</f>
        <v>0</v>
      </c>
      <c r="N368" s="395">
        <f>N369</f>
        <v>20.5</v>
      </c>
      <c r="O368" s="309">
        <v>7.9</v>
      </c>
      <c r="P368" s="319"/>
      <c r="Q368" s="303"/>
      <c r="R368" s="401">
        <f t="shared" si="83"/>
        <v>38.536585365853661</v>
      </c>
    </row>
    <row r="369" spans="1:18" ht="22.15" customHeight="1" x14ac:dyDescent="0.2">
      <c r="A369" s="42"/>
      <c r="B369" s="168" t="s">
        <v>372</v>
      </c>
      <c r="C369" s="169" t="s">
        <v>371</v>
      </c>
      <c r="D369" s="170" t="s">
        <v>373</v>
      </c>
      <c r="E369" s="171"/>
      <c r="F369" s="172">
        <v>20.5</v>
      </c>
      <c r="G369" s="172"/>
      <c r="H369" s="172">
        <v>20.5</v>
      </c>
      <c r="I369" s="188">
        <v>0</v>
      </c>
      <c r="J369" s="189"/>
      <c r="K369" s="188">
        <v>0</v>
      </c>
      <c r="L369" s="172">
        <f>SUM(F369)</f>
        <v>20.5</v>
      </c>
      <c r="M369" s="172">
        <f>SUM(G369)</f>
        <v>0</v>
      </c>
      <c r="N369" s="395">
        <f>SUM(H369)</f>
        <v>20.5</v>
      </c>
      <c r="O369" s="309">
        <v>7.9</v>
      </c>
      <c r="P369" s="319"/>
      <c r="Q369" s="303"/>
      <c r="R369" s="401">
        <f t="shared" si="83"/>
        <v>38.536585365853661</v>
      </c>
    </row>
    <row r="370" spans="1:18" ht="47.25" x14ac:dyDescent="0.2">
      <c r="A370" s="42"/>
      <c r="B370" s="168" t="s">
        <v>374</v>
      </c>
      <c r="C370" s="169" t="s">
        <v>375</v>
      </c>
      <c r="D370" s="170" t="s">
        <v>26</v>
      </c>
      <c r="E370" s="171"/>
      <c r="F370" s="172">
        <f>F371</f>
        <v>14.7</v>
      </c>
      <c r="G370" s="172">
        <f>G371</f>
        <v>0</v>
      </c>
      <c r="H370" s="172">
        <f>H371</f>
        <v>14.7</v>
      </c>
      <c r="I370" s="188">
        <f>I371</f>
        <v>0</v>
      </c>
      <c r="J370" s="189"/>
      <c r="K370" s="188">
        <f>K371</f>
        <v>0</v>
      </c>
      <c r="L370" s="172">
        <f>L371</f>
        <v>14.7</v>
      </c>
      <c r="M370" s="172">
        <f>M371</f>
        <v>0</v>
      </c>
      <c r="N370" s="395">
        <f>N371</f>
        <v>14.7</v>
      </c>
      <c r="O370" s="309">
        <v>14.7</v>
      </c>
      <c r="P370" s="319"/>
      <c r="Q370" s="303"/>
      <c r="R370" s="401">
        <f t="shared" si="83"/>
        <v>100</v>
      </c>
    </row>
    <row r="371" spans="1:18" ht="63" x14ac:dyDescent="0.2">
      <c r="A371" s="42"/>
      <c r="B371" s="168" t="s">
        <v>35</v>
      </c>
      <c r="C371" s="169" t="s">
        <v>375</v>
      </c>
      <c r="D371" s="170" t="s">
        <v>36</v>
      </c>
      <c r="E371" s="171"/>
      <c r="F371" s="172">
        <v>14.7</v>
      </c>
      <c r="G371" s="172"/>
      <c r="H371" s="172">
        <f>SUM(F371)</f>
        <v>14.7</v>
      </c>
      <c r="I371" s="188">
        <v>0</v>
      </c>
      <c r="J371" s="189"/>
      <c r="K371" s="188">
        <v>0</v>
      </c>
      <c r="L371" s="172">
        <f>SUM(F371)</f>
        <v>14.7</v>
      </c>
      <c r="M371" s="172">
        <f>SUM(G371)</f>
        <v>0</v>
      </c>
      <c r="N371" s="395">
        <f>SUM(H371)</f>
        <v>14.7</v>
      </c>
      <c r="O371" s="309">
        <v>14.7</v>
      </c>
      <c r="P371" s="319"/>
      <c r="Q371" s="303"/>
      <c r="R371" s="401">
        <f t="shared" si="83"/>
        <v>100</v>
      </c>
    </row>
    <row r="372" spans="1:18" ht="47.25" x14ac:dyDescent="0.2">
      <c r="A372" s="368"/>
      <c r="B372" s="206" t="s">
        <v>376</v>
      </c>
      <c r="C372" s="207" t="s">
        <v>377</v>
      </c>
      <c r="D372" s="208" t="s">
        <v>26</v>
      </c>
      <c r="E372" s="209"/>
      <c r="F372" s="333">
        <f>F373+F381+F384</f>
        <v>25349</v>
      </c>
      <c r="G372" s="211">
        <f t="shared" ref="G372:O372" si="88">G373+G381+G384</f>
        <v>0</v>
      </c>
      <c r="H372" s="211">
        <f t="shared" si="88"/>
        <v>25349</v>
      </c>
      <c r="I372" s="211">
        <f t="shared" si="88"/>
        <v>0</v>
      </c>
      <c r="J372" s="211">
        <f t="shared" si="88"/>
        <v>0</v>
      </c>
      <c r="K372" s="211">
        <f t="shared" si="88"/>
        <v>0</v>
      </c>
      <c r="L372" s="211">
        <f t="shared" si="88"/>
        <v>25349</v>
      </c>
      <c r="M372" s="211">
        <f t="shared" si="88"/>
        <v>0</v>
      </c>
      <c r="N372" s="396">
        <f t="shared" si="88"/>
        <v>25349</v>
      </c>
      <c r="O372" s="396">
        <f t="shared" si="88"/>
        <v>25010</v>
      </c>
      <c r="P372" s="378"/>
      <c r="Q372" s="367"/>
      <c r="R372" s="401">
        <f t="shared" si="83"/>
        <v>98.662669138822039</v>
      </c>
    </row>
    <row r="373" spans="1:18" ht="37.9" customHeight="1" x14ac:dyDescent="0.2">
      <c r="A373" s="42"/>
      <c r="B373" s="168" t="s">
        <v>378</v>
      </c>
      <c r="C373" s="169" t="s">
        <v>379</v>
      </c>
      <c r="D373" s="170" t="s">
        <v>26</v>
      </c>
      <c r="E373" s="171"/>
      <c r="F373" s="172">
        <f>F374+F379</f>
        <v>4335.0999999999995</v>
      </c>
      <c r="G373" s="172">
        <f>G374+G379</f>
        <v>0</v>
      </c>
      <c r="H373" s="172">
        <f>H374+H379</f>
        <v>4335.0999999999995</v>
      </c>
      <c r="I373" s="188">
        <f>I374</f>
        <v>0</v>
      </c>
      <c r="J373" s="189"/>
      <c r="K373" s="188">
        <f>K374</f>
        <v>0</v>
      </c>
      <c r="L373" s="172">
        <f>L374+L379</f>
        <v>4335.0999999999995</v>
      </c>
      <c r="M373" s="172">
        <f>M374+G373</f>
        <v>0</v>
      </c>
      <c r="N373" s="395">
        <f>N374+M373+N379</f>
        <v>4335.0999999999995</v>
      </c>
      <c r="O373" s="395">
        <f>SUM(O374+O379)</f>
        <v>4327.8999999999996</v>
      </c>
      <c r="P373" s="325"/>
      <c r="Q373" s="367"/>
      <c r="R373" s="401">
        <f t="shared" si="83"/>
        <v>99.833913865885449</v>
      </c>
    </row>
    <row r="374" spans="1:18" ht="47.25" x14ac:dyDescent="0.2">
      <c r="A374" s="42"/>
      <c r="B374" s="168" t="s">
        <v>93</v>
      </c>
      <c r="C374" s="169" t="s">
        <v>380</v>
      </c>
      <c r="D374" s="170" t="s">
        <v>26</v>
      </c>
      <c r="E374" s="171"/>
      <c r="F374" s="172">
        <f>F375+F378</f>
        <v>3784.2</v>
      </c>
      <c r="G374" s="172">
        <f>G375+G378</f>
        <v>0</v>
      </c>
      <c r="H374" s="172">
        <f>H375+H378</f>
        <v>3784.2</v>
      </c>
      <c r="I374" s="188">
        <f>I375+I378</f>
        <v>0</v>
      </c>
      <c r="J374" s="189"/>
      <c r="K374" s="188">
        <f>K375+K378</f>
        <v>0</v>
      </c>
      <c r="L374" s="172">
        <f>L375+L378</f>
        <v>3784.2</v>
      </c>
      <c r="M374" s="172">
        <f>M375+M378</f>
        <v>0</v>
      </c>
      <c r="N374" s="395">
        <f>N375+N378</f>
        <v>3784.2</v>
      </c>
      <c r="O374" s="395">
        <f>O375+O378</f>
        <v>3777.1</v>
      </c>
      <c r="P374" s="315"/>
      <c r="Q374" s="367"/>
      <c r="R374" s="401">
        <f t="shared" si="83"/>
        <v>99.812377781301194</v>
      </c>
    </row>
    <row r="375" spans="1:18" ht="63.75" customHeight="1" x14ac:dyDescent="0.2">
      <c r="A375" s="42"/>
      <c r="B375" s="168" t="s">
        <v>31</v>
      </c>
      <c r="C375" s="169" t="s">
        <v>380</v>
      </c>
      <c r="D375" s="170" t="s">
        <v>32</v>
      </c>
      <c r="E375" s="171"/>
      <c r="F375" s="172">
        <v>3766.1</v>
      </c>
      <c r="G375" s="172"/>
      <c r="H375" s="172">
        <f>F375+G375</f>
        <v>3766.1</v>
      </c>
      <c r="I375" s="188">
        <v>0</v>
      </c>
      <c r="J375" s="189"/>
      <c r="K375" s="188">
        <v>0</v>
      </c>
      <c r="L375" s="172">
        <f t="shared" ref="L375:N380" si="89">SUM(F375)</f>
        <v>3766.1</v>
      </c>
      <c r="M375" s="172">
        <f t="shared" si="89"/>
        <v>0</v>
      </c>
      <c r="N375" s="395">
        <f t="shared" si="89"/>
        <v>3766.1</v>
      </c>
      <c r="O375" s="309">
        <v>3759</v>
      </c>
      <c r="P375" s="319"/>
      <c r="Q375" s="303"/>
      <c r="R375" s="401">
        <f t="shared" si="83"/>
        <v>99.81147606277051</v>
      </c>
    </row>
    <row r="376" spans="1:18" ht="64.5" hidden="1" customHeight="1" x14ac:dyDescent="0.2">
      <c r="A376" s="42"/>
      <c r="B376" s="168" t="s">
        <v>502</v>
      </c>
      <c r="C376" s="169" t="s">
        <v>504</v>
      </c>
      <c r="D376" s="170"/>
      <c r="E376" s="171"/>
      <c r="F376" s="172"/>
      <c r="G376" s="289"/>
      <c r="H376" s="172"/>
      <c r="I376" s="188"/>
      <c r="J376" s="189"/>
      <c r="K376" s="188"/>
      <c r="L376" s="172"/>
      <c r="M376" s="172"/>
      <c r="N376" s="395"/>
      <c r="O376" s="309"/>
      <c r="P376" s="319"/>
      <c r="Q376" s="303"/>
      <c r="R376" s="401" t="e">
        <f t="shared" si="83"/>
        <v>#DIV/0!</v>
      </c>
    </row>
    <row r="377" spans="1:18" ht="64.5" hidden="1" customHeight="1" x14ac:dyDescent="0.2">
      <c r="A377" s="42"/>
      <c r="B377" s="168" t="s">
        <v>31</v>
      </c>
      <c r="C377" s="169" t="s">
        <v>504</v>
      </c>
      <c r="D377" s="170" t="s">
        <v>32</v>
      </c>
      <c r="E377" s="171"/>
      <c r="F377" s="172"/>
      <c r="G377" s="289"/>
      <c r="H377" s="172"/>
      <c r="I377" s="188"/>
      <c r="J377" s="189"/>
      <c r="K377" s="188"/>
      <c r="L377" s="172"/>
      <c r="M377" s="172"/>
      <c r="N377" s="395"/>
      <c r="O377" s="309"/>
      <c r="P377" s="319"/>
      <c r="Q377" s="303"/>
      <c r="R377" s="401" t="e">
        <f t="shared" si="83"/>
        <v>#DIV/0!</v>
      </c>
    </row>
    <row r="378" spans="1:18" ht="63" x14ac:dyDescent="0.2">
      <c r="A378" s="42"/>
      <c r="B378" s="168" t="s">
        <v>35</v>
      </c>
      <c r="C378" s="169" t="s">
        <v>380</v>
      </c>
      <c r="D378" s="170" t="s">
        <v>36</v>
      </c>
      <c r="E378" s="171"/>
      <c r="F378" s="172">
        <v>18.100000000000001</v>
      </c>
      <c r="G378" s="215"/>
      <c r="H378" s="172">
        <f>F378+G378</f>
        <v>18.100000000000001</v>
      </c>
      <c r="I378" s="188">
        <v>0</v>
      </c>
      <c r="J378" s="189"/>
      <c r="K378" s="188">
        <v>0</v>
      </c>
      <c r="L378" s="172">
        <f t="shared" si="89"/>
        <v>18.100000000000001</v>
      </c>
      <c r="M378" s="172">
        <f t="shared" si="89"/>
        <v>0</v>
      </c>
      <c r="N378" s="395">
        <f t="shared" si="89"/>
        <v>18.100000000000001</v>
      </c>
      <c r="O378" s="309">
        <v>18.100000000000001</v>
      </c>
      <c r="P378" s="319"/>
      <c r="Q378" s="303"/>
      <c r="R378" s="401">
        <f t="shared" si="83"/>
        <v>100</v>
      </c>
    </row>
    <row r="379" spans="1:18" ht="157.5" x14ac:dyDescent="0.2">
      <c r="A379" s="42"/>
      <c r="B379" s="168" t="s">
        <v>502</v>
      </c>
      <c r="C379" s="169" t="s">
        <v>504</v>
      </c>
      <c r="D379" s="170"/>
      <c r="E379" s="171"/>
      <c r="F379" s="172">
        <f>SUM(F380)</f>
        <v>550.9</v>
      </c>
      <c r="G379" s="290">
        <f>SUM(G380)</f>
        <v>0</v>
      </c>
      <c r="H379" s="290">
        <f>SUM(H380)</f>
        <v>550.9</v>
      </c>
      <c r="I379" s="188"/>
      <c r="J379" s="189"/>
      <c r="K379" s="188"/>
      <c r="L379" s="172">
        <f t="shared" si="89"/>
        <v>550.9</v>
      </c>
      <c r="M379" s="172">
        <f t="shared" si="89"/>
        <v>0</v>
      </c>
      <c r="N379" s="395">
        <f t="shared" si="89"/>
        <v>550.9</v>
      </c>
      <c r="O379" s="309">
        <v>550.79999999999995</v>
      </c>
      <c r="P379" s="327"/>
      <c r="Q379" s="303"/>
      <c r="R379" s="401">
        <f t="shared" si="83"/>
        <v>99.981847885278626</v>
      </c>
    </row>
    <row r="380" spans="1:18" ht="126" x14ac:dyDescent="0.2">
      <c r="A380" s="42"/>
      <c r="B380" s="168" t="s">
        <v>31</v>
      </c>
      <c r="C380" s="169" t="s">
        <v>504</v>
      </c>
      <c r="D380" s="170" t="s">
        <v>32</v>
      </c>
      <c r="E380" s="171"/>
      <c r="F380" s="172">
        <v>550.9</v>
      </c>
      <c r="G380" s="290"/>
      <c r="H380" s="172">
        <f>SUM(G380)+F380</f>
        <v>550.9</v>
      </c>
      <c r="I380" s="188"/>
      <c r="J380" s="189"/>
      <c r="K380" s="188"/>
      <c r="L380" s="172">
        <f t="shared" si="89"/>
        <v>550.9</v>
      </c>
      <c r="M380" s="172">
        <f t="shared" si="89"/>
        <v>0</v>
      </c>
      <c r="N380" s="395">
        <f t="shared" si="89"/>
        <v>550.9</v>
      </c>
      <c r="O380" s="309">
        <v>550.79999999999995</v>
      </c>
      <c r="P380" s="319"/>
      <c r="Q380" s="303"/>
      <c r="R380" s="401">
        <f t="shared" si="83"/>
        <v>99.981847885278626</v>
      </c>
    </row>
    <row r="381" spans="1:18" ht="94.5" x14ac:dyDescent="0.2">
      <c r="A381" s="42"/>
      <c r="B381" s="168" t="s">
        <v>381</v>
      </c>
      <c r="C381" s="169" t="s">
        <v>382</v>
      </c>
      <c r="D381" s="170" t="s">
        <v>26</v>
      </c>
      <c r="E381" s="171"/>
      <c r="F381" s="172">
        <f t="shared" ref="F381:O382" si="90">F382</f>
        <v>11636.5</v>
      </c>
      <c r="G381" s="172">
        <f t="shared" si="90"/>
        <v>0</v>
      </c>
      <c r="H381" s="172">
        <f t="shared" si="90"/>
        <v>11636.5</v>
      </c>
      <c r="I381" s="188">
        <f t="shared" si="90"/>
        <v>0</v>
      </c>
      <c r="J381" s="189"/>
      <c r="K381" s="188">
        <f t="shared" si="90"/>
        <v>0</v>
      </c>
      <c r="L381" s="172">
        <f t="shared" si="90"/>
        <v>11636.5</v>
      </c>
      <c r="M381" s="172">
        <f t="shared" si="90"/>
        <v>0</v>
      </c>
      <c r="N381" s="395">
        <f t="shared" si="90"/>
        <v>11636.5</v>
      </c>
      <c r="O381" s="395">
        <f t="shared" si="90"/>
        <v>11636.5</v>
      </c>
      <c r="P381" s="325"/>
      <c r="Q381" s="367"/>
      <c r="R381" s="401">
        <f t="shared" si="83"/>
        <v>100</v>
      </c>
    </row>
    <row r="382" spans="1:18" ht="47.25" x14ac:dyDescent="0.2">
      <c r="A382" s="42"/>
      <c r="B382" s="168" t="s">
        <v>39</v>
      </c>
      <c r="C382" s="169" t="s">
        <v>383</v>
      </c>
      <c r="D382" s="170" t="s">
        <v>26</v>
      </c>
      <c r="E382" s="171"/>
      <c r="F382" s="172">
        <f t="shared" si="90"/>
        <v>11636.5</v>
      </c>
      <c r="G382" s="172">
        <f t="shared" si="90"/>
        <v>0</v>
      </c>
      <c r="H382" s="172">
        <f t="shared" si="90"/>
        <v>11636.5</v>
      </c>
      <c r="I382" s="188">
        <f t="shared" si="90"/>
        <v>0</v>
      </c>
      <c r="J382" s="189"/>
      <c r="K382" s="188">
        <f t="shared" si="90"/>
        <v>0</v>
      </c>
      <c r="L382" s="172">
        <f t="shared" si="90"/>
        <v>11636.5</v>
      </c>
      <c r="M382" s="172">
        <f t="shared" si="90"/>
        <v>0</v>
      </c>
      <c r="N382" s="395">
        <f t="shared" si="90"/>
        <v>11636.5</v>
      </c>
      <c r="O382" s="311">
        <v>11636.5</v>
      </c>
      <c r="P382" s="322"/>
      <c r="Q382" s="367"/>
      <c r="R382" s="401">
        <f t="shared" si="83"/>
        <v>100</v>
      </c>
    </row>
    <row r="383" spans="1:18" ht="63" x14ac:dyDescent="0.2">
      <c r="A383" s="42"/>
      <c r="B383" s="168" t="s">
        <v>74</v>
      </c>
      <c r="C383" s="169" t="s">
        <v>383</v>
      </c>
      <c r="D383" s="170" t="s">
        <v>75</v>
      </c>
      <c r="E383" s="171"/>
      <c r="F383" s="172">
        <v>11636.5</v>
      </c>
      <c r="G383" s="172"/>
      <c r="H383" s="172">
        <f>SUM(F383)</f>
        <v>11636.5</v>
      </c>
      <c r="I383" s="188">
        <v>0</v>
      </c>
      <c r="J383" s="189"/>
      <c r="K383" s="188">
        <v>0</v>
      </c>
      <c r="L383" s="172">
        <f>SUM(F383)</f>
        <v>11636.5</v>
      </c>
      <c r="M383" s="172">
        <f>SUM(G383)</f>
        <v>0</v>
      </c>
      <c r="N383" s="395">
        <f>SUM(L383)</f>
        <v>11636.5</v>
      </c>
      <c r="O383" s="311">
        <v>11636.5</v>
      </c>
      <c r="P383" s="322"/>
      <c r="Q383" s="367"/>
      <c r="R383" s="401">
        <f t="shared" si="83"/>
        <v>100</v>
      </c>
    </row>
    <row r="384" spans="1:18" ht="36.6" customHeight="1" x14ac:dyDescent="0.2">
      <c r="A384" s="42"/>
      <c r="B384" s="168" t="s">
        <v>384</v>
      </c>
      <c r="C384" s="169" t="s">
        <v>385</v>
      </c>
      <c r="D384" s="170" t="s">
        <v>26</v>
      </c>
      <c r="E384" s="171"/>
      <c r="F384" s="188">
        <f>F385+F389</f>
        <v>9377.4</v>
      </c>
      <c r="G384" s="188">
        <f t="shared" ref="G384:O384" si="91">G385+G389</f>
        <v>0</v>
      </c>
      <c r="H384" s="188">
        <f t="shared" si="91"/>
        <v>9377.4</v>
      </c>
      <c r="I384" s="188">
        <f t="shared" si="91"/>
        <v>0</v>
      </c>
      <c r="J384" s="188">
        <f t="shared" si="91"/>
        <v>0</v>
      </c>
      <c r="K384" s="188">
        <f t="shared" si="91"/>
        <v>0</v>
      </c>
      <c r="L384" s="188">
        <f t="shared" si="91"/>
        <v>9377.4</v>
      </c>
      <c r="M384" s="188">
        <f t="shared" si="91"/>
        <v>0</v>
      </c>
      <c r="N384" s="396">
        <f t="shared" si="91"/>
        <v>9377.4</v>
      </c>
      <c r="O384" s="396">
        <f t="shared" si="91"/>
        <v>9045.6</v>
      </c>
      <c r="P384" s="329"/>
      <c r="Q384" s="367"/>
      <c r="R384" s="401">
        <f t="shared" si="83"/>
        <v>96.461705803314359</v>
      </c>
    </row>
    <row r="385" spans="1:18" ht="36" customHeight="1" x14ac:dyDescent="0.2">
      <c r="A385" s="42"/>
      <c r="B385" s="168" t="s">
        <v>386</v>
      </c>
      <c r="C385" s="169" t="s">
        <v>387</v>
      </c>
      <c r="D385" s="170" t="s">
        <v>26</v>
      </c>
      <c r="E385" s="171"/>
      <c r="F385" s="172">
        <f>F386+F387</f>
        <v>1517.4</v>
      </c>
      <c r="G385" s="172">
        <f>G386+G387</f>
        <v>0</v>
      </c>
      <c r="H385" s="172">
        <f>H386+H387</f>
        <v>1517.4</v>
      </c>
      <c r="I385" s="188">
        <f>I386+I387</f>
        <v>0</v>
      </c>
      <c r="J385" s="189"/>
      <c r="K385" s="188">
        <f>K386+K387</f>
        <v>0</v>
      </c>
      <c r="L385" s="172">
        <f>L386+L387</f>
        <v>1517.4</v>
      </c>
      <c r="M385" s="172">
        <f>M386+M387</f>
        <v>0</v>
      </c>
      <c r="N385" s="395">
        <f>SUM(L385)+M385</f>
        <v>1517.4</v>
      </c>
      <c r="O385" s="309">
        <v>1185.5999999999999</v>
      </c>
      <c r="P385" s="319"/>
      <c r="Q385" s="303"/>
      <c r="R385" s="401">
        <f t="shared" si="83"/>
        <v>78.133649663898765</v>
      </c>
    </row>
    <row r="386" spans="1:18" ht="63" x14ac:dyDescent="0.2">
      <c r="A386" s="42"/>
      <c r="B386" s="168" t="s">
        <v>35</v>
      </c>
      <c r="C386" s="169" t="s">
        <v>387</v>
      </c>
      <c r="D386" s="170" t="s">
        <v>36</v>
      </c>
      <c r="E386" s="171"/>
      <c r="F386" s="172">
        <v>1517.4</v>
      </c>
      <c r="G386" s="172"/>
      <c r="H386" s="172">
        <f>SUM(F386)+G386</f>
        <v>1517.4</v>
      </c>
      <c r="I386" s="188">
        <v>0</v>
      </c>
      <c r="J386" s="189"/>
      <c r="K386" s="188">
        <v>0</v>
      </c>
      <c r="L386" s="172">
        <f>SUM(F386)</f>
        <v>1517.4</v>
      </c>
      <c r="M386" s="172">
        <f>SUM(G386)</f>
        <v>0</v>
      </c>
      <c r="N386" s="395">
        <f>SUM(H386)</f>
        <v>1517.4</v>
      </c>
      <c r="O386" s="309">
        <v>1185.5999999999999</v>
      </c>
      <c r="P386" s="319"/>
      <c r="Q386" s="303"/>
      <c r="R386" s="401">
        <f t="shared" si="83"/>
        <v>78.133649663898765</v>
      </c>
    </row>
    <row r="387" spans="1:18" ht="2.25" customHeight="1" x14ac:dyDescent="0.2">
      <c r="A387" s="42"/>
      <c r="B387" s="168" t="s">
        <v>41</v>
      </c>
      <c r="C387" s="169" t="s">
        <v>387</v>
      </c>
      <c r="D387" s="170" t="s">
        <v>42</v>
      </c>
      <c r="E387" s="171"/>
      <c r="F387" s="172">
        <v>0</v>
      </c>
      <c r="G387" s="172"/>
      <c r="H387" s="172"/>
      <c r="I387" s="188">
        <v>0</v>
      </c>
      <c r="J387" s="189"/>
      <c r="K387" s="188">
        <v>0</v>
      </c>
      <c r="L387" s="172"/>
      <c r="M387" s="172">
        <f>SUM(G387)</f>
        <v>0</v>
      </c>
      <c r="N387" s="395"/>
      <c r="O387" s="309"/>
      <c r="P387" s="319"/>
      <c r="Q387" s="303"/>
      <c r="R387" s="401" t="e">
        <f t="shared" si="83"/>
        <v>#DIV/0!</v>
      </c>
    </row>
    <row r="388" spans="1:18" ht="0.6" hidden="1" customHeight="1" x14ac:dyDescent="0.2">
      <c r="A388" s="42"/>
      <c r="B388" s="168" t="s">
        <v>490</v>
      </c>
      <c r="C388" s="169" t="s">
        <v>385</v>
      </c>
      <c r="D388" s="170"/>
      <c r="E388" s="171"/>
      <c r="F388" s="172"/>
      <c r="G388" s="172">
        <f>SUM(G390)</f>
        <v>0</v>
      </c>
      <c r="H388" s="172">
        <f>SUM(G388)</f>
        <v>0</v>
      </c>
      <c r="I388" s="188"/>
      <c r="J388" s="189"/>
      <c r="K388" s="188"/>
      <c r="L388" s="172"/>
      <c r="M388" s="172">
        <f>SUM(G388)</f>
        <v>0</v>
      </c>
      <c r="N388" s="395">
        <f>SUM(H388)</f>
        <v>0</v>
      </c>
      <c r="O388" s="309"/>
      <c r="P388" s="319"/>
      <c r="Q388" s="303"/>
      <c r="R388" s="401" t="e">
        <f t="shared" si="83"/>
        <v>#DIV/0!</v>
      </c>
    </row>
    <row r="389" spans="1:18" ht="78.75" x14ac:dyDescent="0.2">
      <c r="A389" s="42"/>
      <c r="B389" s="168" t="s">
        <v>492</v>
      </c>
      <c r="C389" s="169" t="s">
        <v>494</v>
      </c>
      <c r="D389" s="170"/>
      <c r="E389" s="171"/>
      <c r="F389" s="172">
        <v>7860</v>
      </c>
      <c r="G389" s="172">
        <f>SUM(G390)</f>
        <v>0</v>
      </c>
      <c r="H389" s="172">
        <f>SUM(F389)</f>
        <v>7860</v>
      </c>
      <c r="I389" s="188"/>
      <c r="J389" s="189"/>
      <c r="K389" s="188"/>
      <c r="L389" s="172">
        <f>SUM(F389)</f>
        <v>7860</v>
      </c>
      <c r="M389" s="172">
        <f>SUM(G389)</f>
        <v>0</v>
      </c>
      <c r="N389" s="395">
        <f>SUM(H389)</f>
        <v>7860</v>
      </c>
      <c r="O389" s="309">
        <v>7860</v>
      </c>
      <c r="P389" s="319"/>
      <c r="Q389" s="303"/>
      <c r="R389" s="401">
        <f t="shared" si="83"/>
        <v>100</v>
      </c>
    </row>
    <row r="390" spans="1:18" ht="47.25" x14ac:dyDescent="0.2">
      <c r="A390" s="42"/>
      <c r="B390" s="168" t="s">
        <v>131</v>
      </c>
      <c r="C390" s="169" t="s">
        <v>494</v>
      </c>
      <c r="D390" s="170" t="s">
        <v>132</v>
      </c>
      <c r="E390" s="171"/>
      <c r="F390" s="172">
        <v>7860</v>
      </c>
      <c r="G390" s="172"/>
      <c r="H390" s="172">
        <f>SUM(F390)</f>
        <v>7860</v>
      </c>
      <c r="I390" s="188"/>
      <c r="J390" s="189"/>
      <c r="K390" s="188"/>
      <c r="L390" s="172">
        <f>SUM(F390)</f>
        <v>7860</v>
      </c>
      <c r="M390" s="172">
        <f>SUM(G390)</f>
        <v>0</v>
      </c>
      <c r="N390" s="395">
        <f>SUM(H390)</f>
        <v>7860</v>
      </c>
      <c r="O390" s="309">
        <v>7860</v>
      </c>
      <c r="P390" s="319"/>
      <c r="Q390" s="303"/>
      <c r="R390" s="401">
        <f t="shared" si="83"/>
        <v>100</v>
      </c>
    </row>
    <row r="391" spans="1:18" ht="31.5" x14ac:dyDescent="0.2">
      <c r="A391" s="42" t="s">
        <v>388</v>
      </c>
      <c r="B391" s="168" t="s">
        <v>389</v>
      </c>
      <c r="C391" s="169" t="s">
        <v>390</v>
      </c>
      <c r="D391" s="170" t="s">
        <v>26</v>
      </c>
      <c r="E391" s="171"/>
      <c r="F391" s="172">
        <f t="shared" ref="F391:O393" si="92">F392</f>
        <v>1383.6</v>
      </c>
      <c r="G391" s="172">
        <f t="shared" si="92"/>
        <v>0</v>
      </c>
      <c r="H391" s="172">
        <f t="shared" si="92"/>
        <v>1383.6</v>
      </c>
      <c r="I391" s="188">
        <f t="shared" si="92"/>
        <v>0</v>
      </c>
      <c r="J391" s="172">
        <f>J392</f>
        <v>0</v>
      </c>
      <c r="K391" s="188">
        <f t="shared" si="92"/>
        <v>0</v>
      </c>
      <c r="L391" s="172">
        <f t="shared" si="92"/>
        <v>1383.6</v>
      </c>
      <c r="M391" s="172">
        <f t="shared" si="92"/>
        <v>0</v>
      </c>
      <c r="N391" s="395">
        <f t="shared" si="92"/>
        <v>1383.6</v>
      </c>
      <c r="O391" s="395">
        <f t="shared" si="92"/>
        <v>1163.5999999999999</v>
      </c>
      <c r="P391" s="325"/>
      <c r="Q391" s="367"/>
      <c r="R391" s="401">
        <f t="shared" si="83"/>
        <v>84.099450708297198</v>
      </c>
    </row>
    <row r="392" spans="1:18" ht="51.6" customHeight="1" x14ac:dyDescent="0.2">
      <c r="A392" s="42"/>
      <c r="B392" s="168" t="s">
        <v>391</v>
      </c>
      <c r="C392" s="169" t="s">
        <v>392</v>
      </c>
      <c r="D392" s="170" t="s">
        <v>26</v>
      </c>
      <c r="E392" s="171"/>
      <c r="F392" s="172">
        <f t="shared" si="92"/>
        <v>1383.6</v>
      </c>
      <c r="G392" s="172">
        <f t="shared" si="92"/>
        <v>0</v>
      </c>
      <c r="H392" s="172">
        <f t="shared" si="92"/>
        <v>1383.6</v>
      </c>
      <c r="I392" s="188">
        <f t="shared" si="92"/>
        <v>0</v>
      </c>
      <c r="J392" s="189"/>
      <c r="K392" s="188">
        <f t="shared" si="92"/>
        <v>0</v>
      </c>
      <c r="L392" s="172">
        <f t="shared" si="92"/>
        <v>1383.6</v>
      </c>
      <c r="M392" s="172">
        <f t="shared" si="92"/>
        <v>0</v>
      </c>
      <c r="N392" s="395">
        <f t="shared" si="92"/>
        <v>1383.6</v>
      </c>
      <c r="O392" s="395">
        <f t="shared" si="92"/>
        <v>1163.5999999999999</v>
      </c>
      <c r="P392" s="315"/>
      <c r="Q392" s="367"/>
      <c r="R392" s="401">
        <f t="shared" si="83"/>
        <v>84.099450708297198</v>
      </c>
    </row>
    <row r="393" spans="1:18" ht="47.25" x14ac:dyDescent="0.2">
      <c r="A393" s="42"/>
      <c r="B393" s="168" t="s">
        <v>393</v>
      </c>
      <c r="C393" s="169" t="s">
        <v>394</v>
      </c>
      <c r="D393" s="170" t="s">
        <v>26</v>
      </c>
      <c r="E393" s="171"/>
      <c r="F393" s="172">
        <f t="shared" si="92"/>
        <v>1383.6</v>
      </c>
      <c r="G393" s="172">
        <f t="shared" si="92"/>
        <v>0</v>
      </c>
      <c r="H393" s="172">
        <f t="shared" si="92"/>
        <v>1383.6</v>
      </c>
      <c r="I393" s="188">
        <f t="shared" si="92"/>
        <v>0</v>
      </c>
      <c r="J393" s="189"/>
      <c r="K393" s="188">
        <f t="shared" si="92"/>
        <v>0</v>
      </c>
      <c r="L393" s="172">
        <f t="shared" si="92"/>
        <v>1383.6</v>
      </c>
      <c r="M393" s="172">
        <f t="shared" si="92"/>
        <v>0</v>
      </c>
      <c r="N393" s="395">
        <f t="shared" si="92"/>
        <v>1383.6</v>
      </c>
      <c r="O393" s="395">
        <f t="shared" si="92"/>
        <v>1163.5999999999999</v>
      </c>
      <c r="P393" s="315"/>
      <c r="Q393" s="367"/>
      <c r="R393" s="401">
        <f t="shared" si="83"/>
        <v>84.099450708297198</v>
      </c>
    </row>
    <row r="394" spans="1:18" ht="63" x14ac:dyDescent="0.2">
      <c r="A394" s="42"/>
      <c r="B394" s="168" t="s">
        <v>35</v>
      </c>
      <c r="C394" s="169" t="s">
        <v>394</v>
      </c>
      <c r="D394" s="170" t="s">
        <v>36</v>
      </c>
      <c r="E394" s="171"/>
      <c r="F394" s="172">
        <v>1383.6</v>
      </c>
      <c r="G394" s="172"/>
      <c r="H394" s="172">
        <f>SUM(F394)+G394</f>
        <v>1383.6</v>
      </c>
      <c r="I394" s="188">
        <v>0</v>
      </c>
      <c r="J394" s="189"/>
      <c r="K394" s="188">
        <v>0</v>
      </c>
      <c r="L394" s="172">
        <f>SUM(F394)</f>
        <v>1383.6</v>
      </c>
      <c r="M394" s="172">
        <f>SUM(G394)</f>
        <v>0</v>
      </c>
      <c r="N394" s="395">
        <f>SUM(H394)</f>
        <v>1383.6</v>
      </c>
      <c r="O394" s="311">
        <v>1163.5999999999999</v>
      </c>
      <c r="P394" s="322"/>
      <c r="Q394" s="367"/>
      <c r="R394" s="401">
        <f t="shared" si="83"/>
        <v>84.099450708297198</v>
      </c>
    </row>
    <row r="395" spans="1:18" ht="49.15" customHeight="1" x14ac:dyDescent="0.2">
      <c r="A395" s="42" t="s">
        <v>395</v>
      </c>
      <c r="B395" s="168" t="s">
        <v>396</v>
      </c>
      <c r="C395" s="169" t="s">
        <v>397</v>
      </c>
      <c r="D395" s="170" t="s">
        <v>26</v>
      </c>
      <c r="E395" s="171"/>
      <c r="F395" s="172">
        <f t="shared" ref="F395:O397" si="93">F396</f>
        <v>1314.8</v>
      </c>
      <c r="G395" s="172">
        <f t="shared" si="93"/>
        <v>0</v>
      </c>
      <c r="H395" s="172">
        <f t="shared" si="93"/>
        <v>1314.8</v>
      </c>
      <c r="I395" s="188">
        <f t="shared" si="93"/>
        <v>0</v>
      </c>
      <c r="J395" s="172">
        <f>J396</f>
        <v>0</v>
      </c>
      <c r="K395" s="188">
        <f t="shared" si="93"/>
        <v>0</v>
      </c>
      <c r="L395" s="172">
        <f t="shared" si="93"/>
        <v>1314.8</v>
      </c>
      <c r="M395" s="172">
        <f t="shared" si="93"/>
        <v>0</v>
      </c>
      <c r="N395" s="395">
        <f t="shared" si="93"/>
        <v>1314.8</v>
      </c>
      <c r="O395" s="395">
        <f t="shared" si="93"/>
        <v>1287.0999999999999</v>
      </c>
      <c r="P395" s="325"/>
      <c r="Q395" s="367"/>
      <c r="R395" s="401">
        <f t="shared" si="83"/>
        <v>97.893215698205054</v>
      </c>
    </row>
    <row r="396" spans="1:18" ht="30.6" customHeight="1" x14ac:dyDescent="0.2">
      <c r="A396" s="42"/>
      <c r="B396" s="168" t="s">
        <v>398</v>
      </c>
      <c r="C396" s="169" t="s">
        <v>399</v>
      </c>
      <c r="D396" s="170" t="s">
        <v>26</v>
      </c>
      <c r="E396" s="171"/>
      <c r="F396" s="172">
        <f>F397+F400</f>
        <v>1314.8</v>
      </c>
      <c r="G396" s="172">
        <f>G397+G400</f>
        <v>0</v>
      </c>
      <c r="H396" s="172">
        <f>H397+H400</f>
        <v>1314.8</v>
      </c>
      <c r="I396" s="188">
        <f t="shared" si="93"/>
        <v>0</v>
      </c>
      <c r="J396" s="189"/>
      <c r="K396" s="188">
        <f t="shared" si="93"/>
        <v>0</v>
      </c>
      <c r="L396" s="172">
        <f>SUM(F396)</f>
        <v>1314.8</v>
      </c>
      <c r="M396" s="172">
        <f>SUM(G396)</f>
        <v>0</v>
      </c>
      <c r="N396" s="395">
        <f>N397+N400</f>
        <v>1314.8</v>
      </c>
      <c r="O396" s="395">
        <f>O397+O400</f>
        <v>1287.0999999999999</v>
      </c>
      <c r="P396" s="315"/>
      <c r="Q396" s="367"/>
      <c r="R396" s="401">
        <f t="shared" si="83"/>
        <v>97.893215698205054</v>
      </c>
    </row>
    <row r="397" spans="1:18" ht="49.15" customHeight="1" x14ac:dyDescent="0.2">
      <c r="A397" s="42"/>
      <c r="B397" s="168" t="s">
        <v>400</v>
      </c>
      <c r="C397" s="169" t="s">
        <v>401</v>
      </c>
      <c r="D397" s="170" t="s">
        <v>26</v>
      </c>
      <c r="E397" s="171"/>
      <c r="F397" s="172">
        <f>F398+F399</f>
        <v>549.9</v>
      </c>
      <c r="G397" s="172">
        <f>G398+G399</f>
        <v>0</v>
      </c>
      <c r="H397" s="172">
        <f>H398+H399</f>
        <v>549.9</v>
      </c>
      <c r="I397" s="188">
        <f t="shared" si="93"/>
        <v>0</v>
      </c>
      <c r="J397" s="189"/>
      <c r="K397" s="188">
        <f t="shared" si="93"/>
        <v>0</v>
      </c>
      <c r="L397" s="172">
        <f>L398+L399</f>
        <v>549.9</v>
      </c>
      <c r="M397" s="172">
        <f t="shared" si="93"/>
        <v>0</v>
      </c>
      <c r="N397" s="395">
        <f>N398+N399</f>
        <v>549.9</v>
      </c>
      <c r="O397" s="395">
        <f>O398+O399</f>
        <v>522.29999999999995</v>
      </c>
      <c r="P397" s="315"/>
      <c r="Q397" s="367"/>
      <c r="R397" s="401">
        <f t="shared" si="83"/>
        <v>94.980905619203483</v>
      </c>
    </row>
    <row r="398" spans="1:18" ht="63" x14ac:dyDescent="0.2">
      <c r="A398" s="57"/>
      <c r="B398" s="216" t="s">
        <v>35</v>
      </c>
      <c r="C398" s="217" t="s">
        <v>401</v>
      </c>
      <c r="D398" s="170" t="s">
        <v>36</v>
      </c>
      <c r="E398" s="171"/>
      <c r="F398" s="172">
        <v>349.9</v>
      </c>
      <c r="G398" s="172"/>
      <c r="H398" s="172">
        <f>SUM(F398:G398)</f>
        <v>349.9</v>
      </c>
      <c r="I398" s="188">
        <v>0</v>
      </c>
      <c r="J398" s="189"/>
      <c r="K398" s="188">
        <v>0</v>
      </c>
      <c r="L398" s="172">
        <f t="shared" ref="L398:N401" si="94">SUM(F398)</f>
        <v>349.9</v>
      </c>
      <c r="M398" s="172">
        <f t="shared" si="94"/>
        <v>0</v>
      </c>
      <c r="N398" s="395">
        <f t="shared" si="94"/>
        <v>349.9</v>
      </c>
      <c r="O398" s="309">
        <v>322.3</v>
      </c>
      <c r="P398" s="319"/>
      <c r="Q398" s="303"/>
      <c r="R398" s="401">
        <f t="shared" si="83"/>
        <v>92.11203200914548</v>
      </c>
    </row>
    <row r="399" spans="1:18" ht="31.5" x14ac:dyDescent="0.2">
      <c r="A399" s="133"/>
      <c r="B399" s="168" t="s">
        <v>54</v>
      </c>
      <c r="C399" s="217" t="s">
        <v>401</v>
      </c>
      <c r="D399" s="170" t="s">
        <v>55</v>
      </c>
      <c r="E399" s="171"/>
      <c r="F399" s="172">
        <v>200</v>
      </c>
      <c r="G399" s="172"/>
      <c r="H399" s="172">
        <f>SUM(F399)</f>
        <v>200</v>
      </c>
      <c r="I399" s="189"/>
      <c r="J399" s="189"/>
      <c r="K399" s="189"/>
      <c r="L399" s="172">
        <f>SUM(F399)</f>
        <v>200</v>
      </c>
      <c r="M399" s="172">
        <f>SUM(G399)</f>
        <v>0</v>
      </c>
      <c r="N399" s="395">
        <f>SUM(H399)</f>
        <v>200</v>
      </c>
      <c r="O399" s="309">
        <v>200</v>
      </c>
      <c r="P399" s="319"/>
      <c r="Q399" s="303"/>
      <c r="R399" s="401">
        <f t="shared" si="83"/>
        <v>100</v>
      </c>
    </row>
    <row r="400" spans="1:18" ht="47.25" x14ac:dyDescent="0.2">
      <c r="A400" s="133"/>
      <c r="B400" s="197" t="s">
        <v>402</v>
      </c>
      <c r="C400" s="169" t="s">
        <v>403</v>
      </c>
      <c r="D400" s="170"/>
      <c r="E400" s="171"/>
      <c r="F400" s="219">
        <v>764.9</v>
      </c>
      <c r="G400" s="172"/>
      <c r="H400" s="172">
        <f>SUM(F400)+G400</f>
        <v>764.9</v>
      </c>
      <c r="I400" s="189"/>
      <c r="J400" s="189"/>
      <c r="K400" s="189"/>
      <c r="L400" s="172">
        <f t="shared" si="94"/>
        <v>764.9</v>
      </c>
      <c r="M400" s="172">
        <f t="shared" si="94"/>
        <v>0</v>
      </c>
      <c r="N400" s="395">
        <f t="shared" si="94"/>
        <v>764.9</v>
      </c>
      <c r="O400" s="309">
        <v>764.8</v>
      </c>
      <c r="P400" s="319"/>
      <c r="Q400" s="303"/>
      <c r="R400" s="401">
        <f t="shared" si="83"/>
        <v>99.98692639560727</v>
      </c>
    </row>
    <row r="401" spans="1:18" ht="63.75" thickBot="1" x14ac:dyDescent="0.25">
      <c r="A401" s="133"/>
      <c r="B401" s="216" t="s">
        <v>35</v>
      </c>
      <c r="C401" s="169" t="s">
        <v>403</v>
      </c>
      <c r="D401" s="218" t="s">
        <v>36</v>
      </c>
      <c r="E401" s="218"/>
      <c r="F401" s="219">
        <v>764.9</v>
      </c>
      <c r="G401" s="219"/>
      <c r="H401" s="219">
        <f>SUM(F401)+G401</f>
        <v>764.9</v>
      </c>
      <c r="I401" s="220"/>
      <c r="J401" s="220"/>
      <c r="K401" s="220"/>
      <c r="L401" s="219">
        <f t="shared" si="94"/>
        <v>764.9</v>
      </c>
      <c r="M401" s="219">
        <f t="shared" si="94"/>
        <v>0</v>
      </c>
      <c r="N401" s="402">
        <f t="shared" si="94"/>
        <v>764.9</v>
      </c>
      <c r="O401" s="309">
        <v>764.8</v>
      </c>
      <c r="P401" s="319"/>
      <c r="Q401" s="303"/>
      <c r="R401" s="401">
        <f t="shared" si="83"/>
        <v>99.98692639560727</v>
      </c>
    </row>
    <row r="402" spans="1:18" ht="16.5" customHeight="1" thickBot="1" x14ac:dyDescent="0.25">
      <c r="A402" s="379" t="s">
        <v>404</v>
      </c>
      <c r="B402" s="421" t="s">
        <v>405</v>
      </c>
      <c r="C402" s="422"/>
      <c r="D402" s="423"/>
      <c r="E402" s="380"/>
      <c r="F402" s="381">
        <f>F403+F409+F415+F437</f>
        <v>56236.999999999993</v>
      </c>
      <c r="G402" s="381">
        <f t="shared" ref="G402:O402" si="95">G403+G409+G415+G437</f>
        <v>426.4</v>
      </c>
      <c r="H402" s="381">
        <f>H403+H409+H415+H437</f>
        <v>56663.4</v>
      </c>
      <c r="I402" s="382">
        <f t="shared" si="95"/>
        <v>768.1</v>
      </c>
      <c r="J402" s="381">
        <f t="shared" si="95"/>
        <v>6745.6</v>
      </c>
      <c r="K402" s="382">
        <f t="shared" si="95"/>
        <v>7513.7000000000007</v>
      </c>
      <c r="L402" s="381">
        <f t="shared" si="95"/>
        <v>57005.099999999991</v>
      </c>
      <c r="M402" s="381">
        <f t="shared" si="95"/>
        <v>7172</v>
      </c>
      <c r="N402" s="403">
        <f t="shared" si="95"/>
        <v>66570.2</v>
      </c>
      <c r="O402" s="403">
        <f t="shared" si="95"/>
        <v>64732</v>
      </c>
      <c r="P402" s="321"/>
      <c r="Q402" s="303"/>
      <c r="R402" s="401">
        <f t="shared" si="83"/>
        <v>97.238704405274433</v>
      </c>
    </row>
    <row r="403" spans="1:18" ht="47.25" x14ac:dyDescent="0.2">
      <c r="A403" s="362" t="s">
        <v>406</v>
      </c>
      <c r="B403" s="383" t="s">
        <v>407</v>
      </c>
      <c r="C403" s="384" t="s">
        <v>408</v>
      </c>
      <c r="D403" s="385" t="s">
        <v>26</v>
      </c>
      <c r="E403" s="349"/>
      <c r="F403" s="386">
        <f t="shared" ref="F403:O405" si="96">F404</f>
        <v>2524.6999999999998</v>
      </c>
      <c r="G403" s="386">
        <f t="shared" si="96"/>
        <v>69.400000000000006</v>
      </c>
      <c r="H403" s="386">
        <f t="shared" si="96"/>
        <v>2594.1</v>
      </c>
      <c r="I403" s="387">
        <f t="shared" si="96"/>
        <v>0</v>
      </c>
      <c r="J403" s="386">
        <f>J404</f>
        <v>0</v>
      </c>
      <c r="K403" s="387">
        <f t="shared" si="96"/>
        <v>0</v>
      </c>
      <c r="L403" s="386">
        <f t="shared" si="96"/>
        <v>2524.6999999999998</v>
      </c>
      <c r="M403" s="386">
        <f t="shared" si="96"/>
        <v>69.400000000000006</v>
      </c>
      <c r="N403" s="404">
        <f t="shared" si="96"/>
        <v>2594.1</v>
      </c>
      <c r="O403" s="404">
        <f t="shared" si="96"/>
        <v>2588.9</v>
      </c>
      <c r="P403" s="330"/>
      <c r="Q403" s="303"/>
      <c r="R403" s="401">
        <f t="shared" si="83"/>
        <v>99.799545121622145</v>
      </c>
    </row>
    <row r="404" spans="1:18" ht="22.15" customHeight="1" x14ac:dyDescent="0.2">
      <c r="A404" s="368"/>
      <c r="B404" s="206" t="s">
        <v>409</v>
      </c>
      <c r="C404" s="207" t="s">
        <v>410</v>
      </c>
      <c r="D404" s="208" t="s">
        <v>26</v>
      </c>
      <c r="E404" s="209"/>
      <c r="F404" s="388">
        <f>F405+F407</f>
        <v>2524.6999999999998</v>
      </c>
      <c r="G404" s="388">
        <f>G405+G407</f>
        <v>69.400000000000006</v>
      </c>
      <c r="H404" s="388">
        <f>H405+H407</f>
        <v>2594.1</v>
      </c>
      <c r="I404" s="389">
        <f t="shared" si="96"/>
        <v>0</v>
      </c>
      <c r="J404" s="388">
        <f>J405</f>
        <v>0</v>
      </c>
      <c r="K404" s="389">
        <f t="shared" si="96"/>
        <v>0</v>
      </c>
      <c r="L404" s="388">
        <f>L405+L407</f>
        <v>2524.6999999999998</v>
      </c>
      <c r="M404" s="388">
        <f>M405+M407</f>
        <v>69.400000000000006</v>
      </c>
      <c r="N404" s="405">
        <f>N405+N407</f>
        <v>2594.1</v>
      </c>
      <c r="O404" s="405">
        <f>O405+O407</f>
        <v>2588.9</v>
      </c>
      <c r="P404" s="390"/>
      <c r="Q404" s="303"/>
      <c r="R404" s="401">
        <f t="shared" si="83"/>
        <v>99.799545121622145</v>
      </c>
    </row>
    <row r="405" spans="1:18" ht="47.25" x14ac:dyDescent="0.2">
      <c r="A405" s="42"/>
      <c r="B405" s="168" t="s">
        <v>93</v>
      </c>
      <c r="C405" s="169" t="s">
        <v>411</v>
      </c>
      <c r="D405" s="170" t="s">
        <v>26</v>
      </c>
      <c r="E405" s="171"/>
      <c r="F405" s="232">
        <f t="shared" si="96"/>
        <v>2268.1</v>
      </c>
      <c r="G405" s="232">
        <f t="shared" si="96"/>
        <v>69.400000000000006</v>
      </c>
      <c r="H405" s="232">
        <f t="shared" si="96"/>
        <v>2337.5</v>
      </c>
      <c r="I405" s="233">
        <f t="shared" si="96"/>
        <v>0</v>
      </c>
      <c r="J405" s="234"/>
      <c r="K405" s="233">
        <f t="shared" si="96"/>
        <v>0</v>
      </c>
      <c r="L405" s="232">
        <f t="shared" si="96"/>
        <v>2268.1</v>
      </c>
      <c r="M405" s="232">
        <f t="shared" si="96"/>
        <v>69.400000000000006</v>
      </c>
      <c r="N405" s="406">
        <f t="shared" si="96"/>
        <v>2337.5</v>
      </c>
      <c r="O405" s="309">
        <v>2337.4</v>
      </c>
      <c r="P405" s="319"/>
      <c r="Q405" s="303"/>
      <c r="R405" s="401">
        <f t="shared" si="83"/>
        <v>99.995721925133694</v>
      </c>
    </row>
    <row r="406" spans="1:18" ht="69" customHeight="1" x14ac:dyDescent="0.2">
      <c r="A406" s="42"/>
      <c r="B406" s="168" t="s">
        <v>31</v>
      </c>
      <c r="C406" s="169" t="s">
        <v>411</v>
      </c>
      <c r="D406" s="170" t="s">
        <v>32</v>
      </c>
      <c r="E406" s="171"/>
      <c r="F406" s="232">
        <v>2268.1</v>
      </c>
      <c r="G406" s="232">
        <v>69.400000000000006</v>
      </c>
      <c r="H406" s="232">
        <f>SUM(F406)+G406</f>
        <v>2337.5</v>
      </c>
      <c r="I406" s="233">
        <v>0</v>
      </c>
      <c r="J406" s="234"/>
      <c r="K406" s="233">
        <v>0</v>
      </c>
      <c r="L406" s="232">
        <f t="shared" ref="L406:N408" si="97">SUM(F406)</f>
        <v>2268.1</v>
      </c>
      <c r="M406" s="232">
        <f t="shared" si="97"/>
        <v>69.400000000000006</v>
      </c>
      <c r="N406" s="406">
        <f t="shared" si="97"/>
        <v>2337.5</v>
      </c>
      <c r="O406" s="309">
        <v>2337.4</v>
      </c>
      <c r="P406" s="319"/>
      <c r="Q406" s="303"/>
      <c r="R406" s="401">
        <f t="shared" si="83"/>
        <v>99.995721925133694</v>
      </c>
    </row>
    <row r="407" spans="1:18" ht="69" customHeight="1" x14ac:dyDescent="0.2">
      <c r="A407" s="42"/>
      <c r="B407" s="168" t="s">
        <v>502</v>
      </c>
      <c r="C407" s="169" t="s">
        <v>501</v>
      </c>
      <c r="D407" s="170"/>
      <c r="E407" s="171"/>
      <c r="F407" s="232">
        <f>SUM(F408)</f>
        <v>256.60000000000002</v>
      </c>
      <c r="G407" s="232">
        <f>SUM(G408)</f>
        <v>0</v>
      </c>
      <c r="H407" s="232">
        <f>SUM(G407)+F407</f>
        <v>256.60000000000002</v>
      </c>
      <c r="I407" s="233"/>
      <c r="J407" s="234"/>
      <c r="K407" s="233"/>
      <c r="L407" s="232">
        <f t="shared" si="97"/>
        <v>256.60000000000002</v>
      </c>
      <c r="M407" s="232">
        <f t="shared" si="97"/>
        <v>0</v>
      </c>
      <c r="N407" s="406">
        <f t="shared" si="97"/>
        <v>256.60000000000002</v>
      </c>
      <c r="O407" s="309">
        <v>251.5</v>
      </c>
      <c r="P407" s="319"/>
      <c r="Q407" s="303"/>
      <c r="R407" s="401">
        <f t="shared" si="83"/>
        <v>98.012470771628983</v>
      </c>
    </row>
    <row r="408" spans="1:18" ht="69" customHeight="1" x14ac:dyDescent="0.2">
      <c r="A408" s="42"/>
      <c r="B408" s="168" t="s">
        <v>31</v>
      </c>
      <c r="C408" s="169" t="s">
        <v>501</v>
      </c>
      <c r="D408" s="170" t="s">
        <v>32</v>
      </c>
      <c r="E408" s="171"/>
      <c r="F408" s="232">
        <v>256.60000000000002</v>
      </c>
      <c r="G408" s="232"/>
      <c r="H408" s="232">
        <f>SUM(G408)+F408</f>
        <v>256.60000000000002</v>
      </c>
      <c r="I408" s="233"/>
      <c r="J408" s="234"/>
      <c r="K408" s="233"/>
      <c r="L408" s="232">
        <f t="shared" si="97"/>
        <v>256.60000000000002</v>
      </c>
      <c r="M408" s="232">
        <f t="shared" si="97"/>
        <v>0</v>
      </c>
      <c r="N408" s="406">
        <f t="shared" si="97"/>
        <v>256.60000000000002</v>
      </c>
      <c r="O408" s="309">
        <v>251.5</v>
      </c>
      <c r="P408" s="319"/>
      <c r="Q408" s="303"/>
      <c r="R408" s="401">
        <f t="shared" si="83"/>
        <v>98.012470771628983</v>
      </c>
    </row>
    <row r="409" spans="1:18" ht="47.25" x14ac:dyDescent="0.2">
      <c r="A409" s="42" t="s">
        <v>412</v>
      </c>
      <c r="B409" s="168" t="s">
        <v>413</v>
      </c>
      <c r="C409" s="169" t="s">
        <v>414</v>
      </c>
      <c r="D409" s="170" t="s">
        <v>26</v>
      </c>
      <c r="E409" s="171"/>
      <c r="F409" s="232">
        <f t="shared" ref="F409:O409" si="98">F410</f>
        <v>1601.8999999999999</v>
      </c>
      <c r="G409" s="232">
        <f t="shared" si="98"/>
        <v>0</v>
      </c>
      <c r="H409" s="232">
        <f t="shared" si="98"/>
        <v>1601.8999999999999</v>
      </c>
      <c r="I409" s="233">
        <f t="shared" si="98"/>
        <v>0</v>
      </c>
      <c r="J409" s="232">
        <f t="shared" si="98"/>
        <v>0</v>
      </c>
      <c r="K409" s="233">
        <f t="shared" si="98"/>
        <v>0</v>
      </c>
      <c r="L409" s="232">
        <f t="shared" si="98"/>
        <v>1601.8999999999999</v>
      </c>
      <c r="M409" s="232">
        <f t="shared" si="98"/>
        <v>0</v>
      </c>
      <c r="N409" s="406">
        <f t="shared" si="98"/>
        <v>1601.8999999999999</v>
      </c>
      <c r="O409" s="406">
        <f t="shared" si="98"/>
        <v>1601.8999999999999</v>
      </c>
      <c r="P409" s="330"/>
      <c r="Q409" s="303"/>
      <c r="R409" s="401">
        <f t="shared" si="83"/>
        <v>100</v>
      </c>
    </row>
    <row r="410" spans="1:18" ht="31.5" x14ac:dyDescent="0.2">
      <c r="A410" s="368"/>
      <c r="B410" s="206" t="s">
        <v>415</v>
      </c>
      <c r="C410" s="207" t="s">
        <v>416</v>
      </c>
      <c r="D410" s="208" t="s">
        <v>26</v>
      </c>
      <c r="E410" s="209"/>
      <c r="F410" s="388">
        <f t="shared" ref="F410:O410" si="99">F411+F413</f>
        <v>1601.8999999999999</v>
      </c>
      <c r="G410" s="388">
        <f t="shared" si="99"/>
        <v>0</v>
      </c>
      <c r="H410" s="388">
        <f t="shared" si="99"/>
        <v>1601.8999999999999</v>
      </c>
      <c r="I410" s="389">
        <f t="shared" si="99"/>
        <v>0</v>
      </c>
      <c r="J410" s="388">
        <f t="shared" si="99"/>
        <v>0</v>
      </c>
      <c r="K410" s="389">
        <f t="shared" si="99"/>
        <v>0</v>
      </c>
      <c r="L410" s="388">
        <f t="shared" si="99"/>
        <v>1601.8999999999999</v>
      </c>
      <c r="M410" s="388">
        <f t="shared" si="99"/>
        <v>0</v>
      </c>
      <c r="N410" s="405">
        <f t="shared" si="99"/>
        <v>1601.8999999999999</v>
      </c>
      <c r="O410" s="405">
        <f t="shared" si="99"/>
        <v>1601.8999999999999</v>
      </c>
      <c r="P410" s="390"/>
      <c r="Q410" s="303"/>
      <c r="R410" s="401">
        <f t="shared" ref="R410:R442" si="100">SUM(O410/N410*100)</f>
        <v>100</v>
      </c>
    </row>
    <row r="411" spans="1:18" ht="47.25" x14ac:dyDescent="0.2">
      <c r="A411" s="42"/>
      <c r="B411" s="168" t="s">
        <v>93</v>
      </c>
      <c r="C411" s="169" t="s">
        <v>417</v>
      </c>
      <c r="D411" s="170" t="s">
        <v>26</v>
      </c>
      <c r="E411" s="171"/>
      <c r="F411" s="232">
        <f>F412</f>
        <v>8.1</v>
      </c>
      <c r="G411" s="232">
        <f>G412</f>
        <v>0</v>
      </c>
      <c r="H411" s="232">
        <f>H412</f>
        <v>8.1</v>
      </c>
      <c r="I411" s="233">
        <f>I412</f>
        <v>0</v>
      </c>
      <c r="J411" s="234"/>
      <c r="K411" s="233">
        <f>K412</f>
        <v>0</v>
      </c>
      <c r="L411" s="232">
        <f>L412</f>
        <v>8.1</v>
      </c>
      <c r="M411" s="232">
        <f>M412</f>
        <v>0</v>
      </c>
      <c r="N411" s="406">
        <f>N412</f>
        <v>8.1</v>
      </c>
      <c r="O411" s="309">
        <v>8.1</v>
      </c>
      <c r="P411" s="319"/>
      <c r="Q411" s="303"/>
      <c r="R411" s="401">
        <f t="shared" si="100"/>
        <v>100</v>
      </c>
    </row>
    <row r="412" spans="1:18" ht="63" x14ac:dyDescent="0.2">
      <c r="A412" s="42"/>
      <c r="B412" s="168" t="s">
        <v>35</v>
      </c>
      <c r="C412" s="169" t="s">
        <v>417</v>
      </c>
      <c r="D412" s="170" t="s">
        <v>36</v>
      </c>
      <c r="E412" s="171"/>
      <c r="F412" s="232">
        <f>8+0.1</f>
        <v>8.1</v>
      </c>
      <c r="G412" s="232"/>
      <c r="H412" s="232">
        <f>8+0.1</f>
        <v>8.1</v>
      </c>
      <c r="I412" s="233">
        <v>0</v>
      </c>
      <c r="J412" s="234"/>
      <c r="K412" s="233">
        <v>0</v>
      </c>
      <c r="L412" s="232">
        <f>8+0.1</f>
        <v>8.1</v>
      </c>
      <c r="M412" s="232"/>
      <c r="N412" s="406">
        <f>8+0.1</f>
        <v>8.1</v>
      </c>
      <c r="O412" s="309">
        <v>8.1</v>
      </c>
      <c r="P412" s="319"/>
      <c r="Q412" s="303"/>
      <c r="R412" s="401">
        <f t="shared" si="100"/>
        <v>100</v>
      </c>
    </row>
    <row r="413" spans="1:18" ht="50.45" customHeight="1" x14ac:dyDescent="0.2">
      <c r="A413" s="42"/>
      <c r="B413" s="168" t="s">
        <v>418</v>
      </c>
      <c r="C413" s="169" t="s">
        <v>419</v>
      </c>
      <c r="D413" s="170" t="s">
        <v>26</v>
      </c>
      <c r="E413" s="171"/>
      <c r="F413" s="232">
        <f>F414</f>
        <v>1593.8</v>
      </c>
      <c r="G413" s="232">
        <f>G414</f>
        <v>0</v>
      </c>
      <c r="H413" s="232">
        <f>H414</f>
        <v>1593.8</v>
      </c>
      <c r="I413" s="233">
        <f>I414</f>
        <v>0</v>
      </c>
      <c r="J413" s="234"/>
      <c r="K413" s="233">
        <f>K414</f>
        <v>0</v>
      </c>
      <c r="L413" s="232">
        <f>L414</f>
        <v>1593.8</v>
      </c>
      <c r="M413" s="232">
        <f>M414</f>
        <v>0</v>
      </c>
      <c r="N413" s="406">
        <f>N414</f>
        <v>1593.8</v>
      </c>
      <c r="O413" s="309">
        <v>1593.8</v>
      </c>
      <c r="P413" s="319"/>
      <c r="Q413" s="303"/>
      <c r="R413" s="401">
        <f t="shared" si="100"/>
        <v>100</v>
      </c>
    </row>
    <row r="414" spans="1:18" ht="18.75" x14ac:dyDescent="0.2">
      <c r="A414" s="42"/>
      <c r="B414" s="168" t="s">
        <v>278</v>
      </c>
      <c r="C414" s="169" t="s">
        <v>419</v>
      </c>
      <c r="D414" s="170" t="s">
        <v>279</v>
      </c>
      <c r="E414" s="171"/>
      <c r="F414" s="232">
        <v>1593.8</v>
      </c>
      <c r="G414" s="232"/>
      <c r="H414" s="232">
        <f>SUM(F414)</f>
        <v>1593.8</v>
      </c>
      <c r="I414" s="233">
        <v>0</v>
      </c>
      <c r="J414" s="234"/>
      <c r="K414" s="233">
        <v>0</v>
      </c>
      <c r="L414" s="232">
        <f>SUM(F414)</f>
        <v>1593.8</v>
      </c>
      <c r="M414" s="232">
        <f>SUM(G414)</f>
        <v>0</v>
      </c>
      <c r="N414" s="406">
        <f>SUM(H414)</f>
        <v>1593.8</v>
      </c>
      <c r="O414" s="309">
        <v>1593.8</v>
      </c>
      <c r="P414" s="319"/>
      <c r="Q414" s="303"/>
      <c r="R414" s="401">
        <f t="shared" si="100"/>
        <v>100</v>
      </c>
    </row>
    <row r="415" spans="1:18" ht="47.25" x14ac:dyDescent="0.2">
      <c r="A415" s="42" t="s">
        <v>420</v>
      </c>
      <c r="B415" s="168" t="s">
        <v>421</v>
      </c>
      <c r="C415" s="169" t="s">
        <v>422</v>
      </c>
      <c r="D415" s="170" t="s">
        <v>26</v>
      </c>
      <c r="E415" s="171"/>
      <c r="F415" s="232">
        <f t="shared" ref="F415:O415" si="101">F416+F425+F431</f>
        <v>52110.399999999994</v>
      </c>
      <c r="G415" s="232">
        <f t="shared" si="101"/>
        <v>357</v>
      </c>
      <c r="H415" s="232">
        <f t="shared" si="101"/>
        <v>52467.4</v>
      </c>
      <c r="I415" s="233">
        <f t="shared" si="101"/>
        <v>768.1</v>
      </c>
      <c r="J415" s="232">
        <f t="shared" si="101"/>
        <v>6745.6</v>
      </c>
      <c r="K415" s="233">
        <f t="shared" si="101"/>
        <v>7513.7000000000007</v>
      </c>
      <c r="L415" s="232">
        <f t="shared" si="101"/>
        <v>52878.499999999993</v>
      </c>
      <c r="M415" s="232">
        <f t="shared" si="101"/>
        <v>7102.6</v>
      </c>
      <c r="N415" s="406">
        <f t="shared" si="101"/>
        <v>59981.1</v>
      </c>
      <c r="O415" s="406">
        <f t="shared" si="101"/>
        <v>58148.1</v>
      </c>
      <c r="P415" s="330"/>
      <c r="Q415" s="303"/>
      <c r="R415" s="401">
        <f t="shared" si="100"/>
        <v>96.944037371772112</v>
      </c>
    </row>
    <row r="416" spans="1:18" ht="47.25" x14ac:dyDescent="0.2">
      <c r="A416" s="368"/>
      <c r="B416" s="206" t="s">
        <v>423</v>
      </c>
      <c r="C416" s="207" t="s">
        <v>424</v>
      </c>
      <c r="D416" s="208" t="s">
        <v>26</v>
      </c>
      <c r="E416" s="209"/>
      <c r="F416" s="388">
        <f>F417+F423</f>
        <v>46417.399999999994</v>
      </c>
      <c r="G416" s="388">
        <f>G417+G419+G423</f>
        <v>357</v>
      </c>
      <c r="H416" s="388">
        <f>H417+H423</f>
        <v>46774.400000000001</v>
      </c>
      <c r="I416" s="389">
        <f t="shared" ref="I416:K416" si="102">I417</f>
        <v>0</v>
      </c>
      <c r="J416" s="388">
        <f t="shared" si="102"/>
        <v>0</v>
      </c>
      <c r="K416" s="389">
        <f t="shared" si="102"/>
        <v>0</v>
      </c>
      <c r="L416" s="388">
        <f>L417+L423</f>
        <v>46417.399999999994</v>
      </c>
      <c r="M416" s="388">
        <f>M417+M419+M423</f>
        <v>357</v>
      </c>
      <c r="N416" s="406">
        <f>N417+N423</f>
        <v>46774.400000000001</v>
      </c>
      <c r="O416" s="406">
        <f>O417+O423</f>
        <v>46498</v>
      </c>
      <c r="P416" s="390"/>
      <c r="Q416" s="303"/>
      <c r="R416" s="401">
        <f t="shared" si="100"/>
        <v>99.409078470274338</v>
      </c>
    </row>
    <row r="417" spans="1:18" ht="47.25" x14ac:dyDescent="0.2">
      <c r="A417" s="42"/>
      <c r="B417" s="168" t="s">
        <v>93</v>
      </c>
      <c r="C417" s="169" t="s">
        <v>425</v>
      </c>
      <c r="D417" s="170" t="s">
        <v>26</v>
      </c>
      <c r="E417" s="171"/>
      <c r="F417" s="232">
        <f>F418+F421+F422</f>
        <v>38089.299999999996</v>
      </c>
      <c r="G417" s="232">
        <f>G418+G421+G422</f>
        <v>-69.400000000000006</v>
      </c>
      <c r="H417" s="232">
        <f>H418+H421+H422</f>
        <v>38019.9</v>
      </c>
      <c r="I417" s="233">
        <f>I418+I421+I422</f>
        <v>0</v>
      </c>
      <c r="J417" s="234"/>
      <c r="K417" s="233">
        <f>K418+K421+K422</f>
        <v>0</v>
      </c>
      <c r="L417" s="232">
        <f>L418+L421+L422</f>
        <v>38089.299999999996</v>
      </c>
      <c r="M417" s="232">
        <f>SUM(G417)</f>
        <v>-69.400000000000006</v>
      </c>
      <c r="N417" s="406">
        <f>N418+N421+N422</f>
        <v>38019.9</v>
      </c>
      <c r="O417" s="406">
        <f>O418+O421+O422</f>
        <v>37930.699999999997</v>
      </c>
      <c r="P417" s="330"/>
      <c r="Q417" s="303"/>
      <c r="R417" s="401">
        <f t="shared" si="100"/>
        <v>99.765386021530816</v>
      </c>
    </row>
    <row r="418" spans="1:18" ht="64.5" customHeight="1" x14ac:dyDescent="0.2">
      <c r="A418" s="42"/>
      <c r="B418" s="168" t="s">
        <v>31</v>
      </c>
      <c r="C418" s="169" t="s">
        <v>425</v>
      </c>
      <c r="D418" s="170" t="s">
        <v>32</v>
      </c>
      <c r="E418" s="171"/>
      <c r="F418" s="232">
        <v>37600.5</v>
      </c>
      <c r="G418" s="232">
        <f>124.7+188.1-10</f>
        <v>302.8</v>
      </c>
      <c r="H418" s="232">
        <f>SUM(F418)+G418</f>
        <v>37903.300000000003</v>
      </c>
      <c r="I418" s="233">
        <v>0</v>
      </c>
      <c r="J418" s="234"/>
      <c r="K418" s="233">
        <v>0</v>
      </c>
      <c r="L418" s="232">
        <f t="shared" ref="L418:M422" si="103">SUM(F418)</f>
        <v>37600.5</v>
      </c>
      <c r="M418" s="232">
        <f t="shared" si="103"/>
        <v>302.8</v>
      </c>
      <c r="N418" s="406">
        <f>SUM(M418)+L418</f>
        <v>37903.300000000003</v>
      </c>
      <c r="O418" s="309">
        <v>37824.699999999997</v>
      </c>
      <c r="P418" s="319"/>
      <c r="Q418" s="303"/>
      <c r="R418" s="401">
        <f t="shared" si="100"/>
        <v>99.792630193149392</v>
      </c>
    </row>
    <row r="419" spans="1:18" ht="69.75" hidden="1" customHeight="1" x14ac:dyDescent="0.2">
      <c r="A419" s="42"/>
      <c r="B419" s="168" t="s">
        <v>502</v>
      </c>
      <c r="C419" s="169" t="s">
        <v>503</v>
      </c>
      <c r="D419" s="170"/>
      <c r="E419" s="171"/>
      <c r="F419" s="232"/>
      <c r="G419" s="232">
        <f>SUM(G420)</f>
        <v>0</v>
      </c>
      <c r="H419" s="232">
        <f>SUM(G419)</f>
        <v>0</v>
      </c>
      <c r="I419" s="233"/>
      <c r="J419" s="234"/>
      <c r="K419" s="233"/>
      <c r="L419" s="232"/>
      <c r="M419" s="232">
        <f>SUM(G419)</f>
        <v>0</v>
      </c>
      <c r="N419" s="406">
        <f>SUM(H419)</f>
        <v>0</v>
      </c>
      <c r="O419" s="309"/>
      <c r="P419" s="319"/>
      <c r="Q419" s="303"/>
      <c r="R419" s="401" t="e">
        <f t="shared" si="100"/>
        <v>#DIV/0!</v>
      </c>
    </row>
    <row r="420" spans="1:18" ht="69.75" hidden="1" customHeight="1" x14ac:dyDescent="0.2">
      <c r="A420" s="42"/>
      <c r="B420" s="168" t="s">
        <v>31</v>
      </c>
      <c r="C420" s="169" t="s">
        <v>503</v>
      </c>
      <c r="D420" s="170" t="s">
        <v>32</v>
      </c>
      <c r="E420" s="171"/>
      <c r="F420" s="232"/>
      <c r="G420" s="232"/>
      <c r="H420" s="232">
        <f>SUM(G420)</f>
        <v>0</v>
      </c>
      <c r="I420" s="233"/>
      <c r="J420" s="234"/>
      <c r="K420" s="233"/>
      <c r="L420" s="232"/>
      <c r="M420" s="232">
        <f>SUM(G420)</f>
        <v>0</v>
      </c>
      <c r="N420" s="406">
        <f>SUM(H420)</f>
        <v>0</v>
      </c>
      <c r="O420" s="309"/>
      <c r="P420" s="319"/>
      <c r="Q420" s="303"/>
      <c r="R420" s="401" t="e">
        <f t="shared" si="100"/>
        <v>#DIV/0!</v>
      </c>
    </row>
    <row r="421" spans="1:18" ht="63" x14ac:dyDescent="0.2">
      <c r="A421" s="42"/>
      <c r="B421" s="168" t="s">
        <v>35</v>
      </c>
      <c r="C421" s="169" t="s">
        <v>425</v>
      </c>
      <c r="D421" s="170" t="s">
        <v>36</v>
      </c>
      <c r="E421" s="171"/>
      <c r="F421" s="232">
        <v>260.7</v>
      </c>
      <c r="G421" s="232">
        <f>-69.4-124.7+10</f>
        <v>-184.10000000000002</v>
      </c>
      <c r="H421" s="232">
        <f>260.7+G421</f>
        <v>76.599999999999966</v>
      </c>
      <c r="I421" s="233">
        <v>0</v>
      </c>
      <c r="J421" s="234"/>
      <c r="K421" s="233">
        <v>0</v>
      </c>
      <c r="L421" s="232">
        <f t="shared" si="103"/>
        <v>260.7</v>
      </c>
      <c r="M421" s="232">
        <f t="shared" si="103"/>
        <v>-184.10000000000002</v>
      </c>
      <c r="N421" s="406">
        <f>SUM(H421)</f>
        <v>76.599999999999966</v>
      </c>
      <c r="O421" s="309">
        <v>66.599999999999994</v>
      </c>
      <c r="P421" s="319"/>
      <c r="Q421" s="303"/>
      <c r="R421" s="401">
        <f t="shared" si="100"/>
        <v>86.945169712793771</v>
      </c>
    </row>
    <row r="422" spans="1:18" ht="18.75" x14ac:dyDescent="0.2">
      <c r="A422" s="42"/>
      <c r="B422" s="168" t="s">
        <v>41</v>
      </c>
      <c r="C422" s="169" t="s">
        <v>425</v>
      </c>
      <c r="D422" s="170" t="s">
        <v>42</v>
      </c>
      <c r="E422" s="171"/>
      <c r="F422" s="232">
        <v>228.1</v>
      </c>
      <c r="G422" s="232">
        <v>-188.1</v>
      </c>
      <c r="H422" s="232">
        <f>SUM(F422)+G422</f>
        <v>40</v>
      </c>
      <c r="I422" s="233">
        <v>0</v>
      </c>
      <c r="J422" s="234"/>
      <c r="K422" s="233">
        <v>0</v>
      </c>
      <c r="L422" s="232">
        <f t="shared" si="103"/>
        <v>228.1</v>
      </c>
      <c r="M422" s="232">
        <f t="shared" si="103"/>
        <v>-188.1</v>
      </c>
      <c r="N422" s="406">
        <f>SUM(H422)</f>
        <v>40</v>
      </c>
      <c r="O422" s="309">
        <v>39.4</v>
      </c>
      <c r="P422" s="319"/>
      <c r="Q422" s="303"/>
      <c r="R422" s="401">
        <f t="shared" si="100"/>
        <v>98.5</v>
      </c>
    </row>
    <row r="423" spans="1:18" ht="157.5" x14ac:dyDescent="0.2">
      <c r="A423" s="42"/>
      <c r="B423" s="168" t="s">
        <v>502</v>
      </c>
      <c r="C423" s="169" t="s">
        <v>503</v>
      </c>
      <c r="D423" s="170"/>
      <c r="E423" s="171"/>
      <c r="F423" s="232">
        <f>SUM(F424)</f>
        <v>8328.1</v>
      </c>
      <c r="G423" s="232">
        <f>SUM(G424)</f>
        <v>426.4</v>
      </c>
      <c r="H423" s="232">
        <f>SUM(G423)+F423</f>
        <v>8754.5</v>
      </c>
      <c r="I423" s="233"/>
      <c r="J423" s="234"/>
      <c r="K423" s="233"/>
      <c r="L423" s="234">
        <f>SUM(F423)</f>
        <v>8328.1</v>
      </c>
      <c r="M423" s="232">
        <f>SUM(G423)</f>
        <v>426.4</v>
      </c>
      <c r="N423" s="407">
        <f>SUM(H423)</f>
        <v>8754.5</v>
      </c>
      <c r="O423" s="309">
        <v>8567.2999999999993</v>
      </c>
      <c r="P423" s="319"/>
      <c r="Q423" s="303"/>
      <c r="R423" s="401">
        <f t="shared" si="100"/>
        <v>97.861671140556268</v>
      </c>
    </row>
    <row r="424" spans="1:18" ht="126" x14ac:dyDescent="0.2">
      <c r="A424" s="42"/>
      <c r="B424" s="168" t="s">
        <v>31</v>
      </c>
      <c r="C424" s="169" t="s">
        <v>503</v>
      </c>
      <c r="D424" s="170" t="s">
        <v>32</v>
      </c>
      <c r="E424" s="171"/>
      <c r="F424" s="232">
        <v>8328.1</v>
      </c>
      <c r="G424" s="232">
        <v>426.4</v>
      </c>
      <c r="H424" s="232">
        <f>SUM(G424)+F424</f>
        <v>8754.5</v>
      </c>
      <c r="I424" s="233"/>
      <c r="J424" s="234"/>
      <c r="K424" s="233"/>
      <c r="L424" s="234">
        <f>SUM(F424)</f>
        <v>8328.1</v>
      </c>
      <c r="M424" s="232">
        <f>SUM(G424)</f>
        <v>426.4</v>
      </c>
      <c r="N424" s="407">
        <f>SUM(H424)</f>
        <v>8754.5</v>
      </c>
      <c r="O424" s="309">
        <v>8567.2999999999993</v>
      </c>
      <c r="P424" s="319"/>
      <c r="Q424" s="303"/>
      <c r="R424" s="401">
        <f t="shared" si="100"/>
        <v>97.861671140556268</v>
      </c>
    </row>
    <row r="425" spans="1:18" ht="21.6" customHeight="1" x14ac:dyDescent="0.2">
      <c r="A425" s="368"/>
      <c r="B425" s="206" t="s">
        <v>426</v>
      </c>
      <c r="C425" s="207" t="s">
        <v>427</v>
      </c>
      <c r="D425" s="208" t="s">
        <v>26</v>
      </c>
      <c r="E425" s="209"/>
      <c r="F425" s="388">
        <f>F429</f>
        <v>0</v>
      </c>
      <c r="G425" s="388">
        <f>G429</f>
        <v>0</v>
      </c>
      <c r="H425" s="388">
        <f>H429</f>
        <v>0</v>
      </c>
      <c r="I425" s="389">
        <f>I429+I426</f>
        <v>768.1</v>
      </c>
      <c r="J425" s="391"/>
      <c r="K425" s="389">
        <f>K429+K426</f>
        <v>768.1</v>
      </c>
      <c r="L425" s="389">
        <f>L429+L426</f>
        <v>768.1</v>
      </c>
      <c r="M425" s="388">
        <f>M429</f>
        <v>0</v>
      </c>
      <c r="N425" s="408">
        <f>N429+N426</f>
        <v>768.1</v>
      </c>
      <c r="O425" s="408">
        <f>O429+O426</f>
        <v>768.1</v>
      </c>
      <c r="P425" s="390"/>
      <c r="Q425" s="303"/>
      <c r="R425" s="401">
        <f t="shared" si="100"/>
        <v>100</v>
      </c>
    </row>
    <row r="426" spans="1:18" ht="125.45" customHeight="1" x14ac:dyDescent="0.2">
      <c r="A426" s="368"/>
      <c r="B426" s="237" t="s">
        <v>428</v>
      </c>
      <c r="C426" s="169" t="s">
        <v>429</v>
      </c>
      <c r="D426" s="170"/>
      <c r="E426" s="171"/>
      <c r="F426" s="232"/>
      <c r="G426" s="232"/>
      <c r="H426" s="232"/>
      <c r="I426" s="233">
        <f>SUM(I427+I428)</f>
        <v>755.7</v>
      </c>
      <c r="J426" s="234"/>
      <c r="K426" s="233">
        <f>SUM(I426)</f>
        <v>755.7</v>
      </c>
      <c r="L426" s="233">
        <f>SUM(L427+L428)</f>
        <v>755.7</v>
      </c>
      <c r="M426" s="232"/>
      <c r="N426" s="311">
        <f>SUM(N427+N428)</f>
        <v>755.7</v>
      </c>
      <c r="O426" s="309">
        <v>755.7</v>
      </c>
      <c r="P426" s="319"/>
      <c r="Q426" s="303"/>
      <c r="R426" s="401">
        <f t="shared" si="100"/>
        <v>100</v>
      </c>
    </row>
    <row r="427" spans="1:18" ht="66" customHeight="1" x14ac:dyDescent="0.2">
      <c r="A427" s="368"/>
      <c r="B427" s="168" t="s">
        <v>31</v>
      </c>
      <c r="C427" s="169" t="s">
        <v>429</v>
      </c>
      <c r="D427" s="170" t="s">
        <v>32</v>
      </c>
      <c r="E427" s="171"/>
      <c r="F427" s="232"/>
      <c r="G427" s="232"/>
      <c r="H427" s="232"/>
      <c r="I427" s="233">
        <v>755.7</v>
      </c>
      <c r="J427" s="234"/>
      <c r="K427" s="233">
        <v>755.7</v>
      </c>
      <c r="L427" s="233">
        <f>F427+I427</f>
        <v>755.7</v>
      </c>
      <c r="M427" s="232">
        <f>SUM(J427)</f>
        <v>0</v>
      </c>
      <c r="N427" s="311">
        <f>H427+K427</f>
        <v>755.7</v>
      </c>
      <c r="O427" s="309">
        <v>755.7</v>
      </c>
      <c r="P427" s="319"/>
      <c r="Q427" s="303"/>
      <c r="R427" s="401">
        <f t="shared" si="100"/>
        <v>100</v>
      </c>
    </row>
    <row r="428" spans="1:18" ht="23.25" hidden="1" customHeight="1" x14ac:dyDescent="0.2">
      <c r="A428" s="368"/>
      <c r="B428" s="168" t="s">
        <v>35</v>
      </c>
      <c r="C428" s="169" t="s">
        <v>429</v>
      </c>
      <c r="D428" s="170" t="s">
        <v>36</v>
      </c>
      <c r="E428" s="171"/>
      <c r="F428" s="232"/>
      <c r="G428" s="232"/>
      <c r="H428" s="232"/>
      <c r="I428" s="233">
        <v>0</v>
      </c>
      <c r="J428" s="234"/>
      <c r="K428" s="233">
        <v>0</v>
      </c>
      <c r="L428" s="233">
        <f>F428+I428</f>
        <v>0</v>
      </c>
      <c r="M428" s="232">
        <f>SUM(J428)</f>
        <v>0</v>
      </c>
      <c r="N428" s="311">
        <f>H428+K428</f>
        <v>0</v>
      </c>
      <c r="O428" s="308"/>
      <c r="P428" s="320"/>
      <c r="Q428" s="303"/>
      <c r="R428" s="401" t="e">
        <f t="shared" si="100"/>
        <v>#DIV/0!</v>
      </c>
    </row>
    <row r="429" spans="1:18" ht="78.75" x14ac:dyDescent="0.2">
      <c r="A429" s="42"/>
      <c r="B429" s="168" t="s">
        <v>430</v>
      </c>
      <c r="C429" s="169" t="s">
        <v>431</v>
      </c>
      <c r="D429" s="170" t="s">
        <v>26</v>
      </c>
      <c r="E429" s="171"/>
      <c r="F429" s="232">
        <f t="shared" ref="F429:N429" si="104">F430</f>
        <v>0</v>
      </c>
      <c r="G429" s="232">
        <f t="shared" si="104"/>
        <v>0</v>
      </c>
      <c r="H429" s="232">
        <f t="shared" si="104"/>
        <v>0</v>
      </c>
      <c r="I429" s="233">
        <f t="shared" si="104"/>
        <v>12.4</v>
      </c>
      <c r="J429" s="234"/>
      <c r="K429" s="233">
        <f t="shared" si="104"/>
        <v>12.4</v>
      </c>
      <c r="L429" s="232">
        <f t="shared" si="104"/>
        <v>12.4</v>
      </c>
      <c r="M429" s="232">
        <f t="shared" si="104"/>
        <v>0</v>
      </c>
      <c r="N429" s="406">
        <f t="shared" si="104"/>
        <v>12.4</v>
      </c>
      <c r="O429" s="309">
        <v>12.4</v>
      </c>
      <c r="P429" s="319"/>
      <c r="Q429" s="303"/>
      <c r="R429" s="401">
        <f t="shared" si="100"/>
        <v>100</v>
      </c>
    </row>
    <row r="430" spans="1:18" ht="63" x14ac:dyDescent="0.2">
      <c r="A430" s="42"/>
      <c r="B430" s="168" t="s">
        <v>35</v>
      </c>
      <c r="C430" s="169" t="s">
        <v>431</v>
      </c>
      <c r="D430" s="170" t="s">
        <v>36</v>
      </c>
      <c r="E430" s="171"/>
      <c r="F430" s="232">
        <v>0</v>
      </c>
      <c r="G430" s="232">
        <v>0</v>
      </c>
      <c r="H430" s="232">
        <v>0</v>
      </c>
      <c r="I430" s="233">
        <v>12.4</v>
      </c>
      <c r="J430" s="234"/>
      <c r="K430" s="233">
        <v>12.4</v>
      </c>
      <c r="L430" s="232">
        <v>12.4</v>
      </c>
      <c r="M430" s="232">
        <v>0</v>
      </c>
      <c r="N430" s="406">
        <v>12.4</v>
      </c>
      <c r="O430" s="309">
        <v>12.4</v>
      </c>
      <c r="P430" s="319"/>
      <c r="Q430" s="303"/>
      <c r="R430" s="401">
        <f t="shared" si="100"/>
        <v>100</v>
      </c>
    </row>
    <row r="431" spans="1:18" ht="31.5" x14ac:dyDescent="0.2">
      <c r="A431" s="368"/>
      <c r="B431" s="206" t="s">
        <v>432</v>
      </c>
      <c r="C431" s="207" t="s">
        <v>433</v>
      </c>
      <c r="D431" s="208" t="s">
        <v>26</v>
      </c>
      <c r="E431" s="209"/>
      <c r="F431" s="388">
        <f t="shared" ref="F431:L431" si="105">F432</f>
        <v>5693</v>
      </c>
      <c r="G431" s="388">
        <f t="shared" si="105"/>
        <v>0</v>
      </c>
      <c r="H431" s="388">
        <f t="shared" si="105"/>
        <v>5693</v>
      </c>
      <c r="I431" s="389">
        <f t="shared" si="105"/>
        <v>0</v>
      </c>
      <c r="J431" s="388">
        <f>J432+J435</f>
        <v>6745.6</v>
      </c>
      <c r="K431" s="389">
        <f>K432+K435</f>
        <v>6745.6</v>
      </c>
      <c r="L431" s="388">
        <f t="shared" si="105"/>
        <v>5693</v>
      </c>
      <c r="M431" s="388">
        <f>M432+M435</f>
        <v>6745.6</v>
      </c>
      <c r="N431" s="406">
        <f>N432+N435</f>
        <v>12438.6</v>
      </c>
      <c r="O431" s="406">
        <f>O432+O435</f>
        <v>10882</v>
      </c>
      <c r="P431" s="390"/>
      <c r="Q431" s="303"/>
      <c r="R431" s="401">
        <f t="shared" si="100"/>
        <v>87.485729905294804</v>
      </c>
    </row>
    <row r="432" spans="1:18" ht="47.25" x14ac:dyDescent="0.2">
      <c r="A432" s="42"/>
      <c r="B432" s="168" t="s">
        <v>434</v>
      </c>
      <c r="C432" s="169" t="s">
        <v>435</v>
      </c>
      <c r="D432" s="170" t="s">
        <v>26</v>
      </c>
      <c r="E432" s="171"/>
      <c r="F432" s="232">
        <f>F434+F433</f>
        <v>5693</v>
      </c>
      <c r="G432" s="232">
        <f>SUM(G434)+G433</f>
        <v>0</v>
      </c>
      <c r="H432" s="232">
        <f>H434+H433</f>
        <v>5693</v>
      </c>
      <c r="I432" s="233">
        <f>I434</f>
        <v>0</v>
      </c>
      <c r="J432" s="234"/>
      <c r="K432" s="233">
        <f>K434</f>
        <v>0</v>
      </c>
      <c r="L432" s="232">
        <f>SUM(F432)</f>
        <v>5693</v>
      </c>
      <c r="M432" s="232">
        <f>SUM(M434)+M433</f>
        <v>0</v>
      </c>
      <c r="N432" s="406">
        <f>SUM(H432)</f>
        <v>5693</v>
      </c>
      <c r="O432" s="309">
        <v>4136.3999999999996</v>
      </c>
      <c r="P432" s="322"/>
      <c r="Q432" s="367"/>
      <c r="R432" s="401">
        <f t="shared" si="100"/>
        <v>72.657649745301242</v>
      </c>
    </row>
    <row r="433" spans="1:18" ht="63" x14ac:dyDescent="0.2">
      <c r="A433" s="42"/>
      <c r="B433" s="168" t="s">
        <v>35</v>
      </c>
      <c r="C433" s="169" t="s">
        <v>435</v>
      </c>
      <c r="D433" s="170" t="s">
        <v>36</v>
      </c>
      <c r="E433" s="171"/>
      <c r="F433" s="232">
        <v>3992.9</v>
      </c>
      <c r="G433" s="232">
        <f>40.8+43.7+27.5</f>
        <v>112</v>
      </c>
      <c r="H433" s="232">
        <f>SUM(F433)+G433</f>
        <v>4104.8999999999996</v>
      </c>
      <c r="I433" s="233"/>
      <c r="J433" s="234"/>
      <c r="K433" s="233"/>
      <c r="L433" s="232">
        <f>SUM(F433)</f>
        <v>3992.9</v>
      </c>
      <c r="M433" s="232">
        <f>SUM(G433)</f>
        <v>112</v>
      </c>
      <c r="N433" s="406">
        <v>4157.3999999999996</v>
      </c>
      <c r="O433" s="309">
        <v>4136.3999999999996</v>
      </c>
      <c r="P433" s="319"/>
      <c r="Q433" s="303"/>
      <c r="R433" s="401">
        <f t="shared" si="100"/>
        <v>99.494876605570795</v>
      </c>
    </row>
    <row r="434" spans="1:18" ht="18.75" x14ac:dyDescent="0.2">
      <c r="A434" s="42"/>
      <c r="B434" s="168" t="s">
        <v>41</v>
      </c>
      <c r="C434" s="169" t="s">
        <v>435</v>
      </c>
      <c r="D434" s="170" t="s">
        <v>42</v>
      </c>
      <c r="E434" s="171"/>
      <c r="F434" s="232">
        <v>1700.1</v>
      </c>
      <c r="G434" s="232">
        <f>-40.8-43.7-27.5</f>
        <v>-112</v>
      </c>
      <c r="H434" s="232">
        <f>F434+G434</f>
        <v>1588.1</v>
      </c>
      <c r="I434" s="233">
        <v>0</v>
      </c>
      <c r="J434" s="234"/>
      <c r="K434" s="233">
        <v>0</v>
      </c>
      <c r="L434" s="232">
        <f>F434</f>
        <v>1700.1</v>
      </c>
      <c r="M434" s="232">
        <f>SUM(G434)</f>
        <v>-112</v>
      </c>
      <c r="N434" s="406">
        <v>1535.7</v>
      </c>
      <c r="O434" s="309">
        <v>0</v>
      </c>
      <c r="P434" s="319"/>
      <c r="Q434" s="303"/>
      <c r="R434" s="401">
        <f t="shared" si="100"/>
        <v>0</v>
      </c>
    </row>
    <row r="435" spans="1:18" ht="63" x14ac:dyDescent="0.2">
      <c r="A435" s="42"/>
      <c r="B435" s="302" t="s">
        <v>508</v>
      </c>
      <c r="C435" s="169" t="s">
        <v>507</v>
      </c>
      <c r="D435" s="170"/>
      <c r="E435" s="171"/>
      <c r="F435" s="232"/>
      <c r="G435" s="234"/>
      <c r="H435" s="234"/>
      <c r="I435" s="233"/>
      <c r="J435" s="301">
        <f>SUM(J436)</f>
        <v>6745.6</v>
      </c>
      <c r="K435" s="240">
        <f>SUM(J435)</f>
        <v>6745.6</v>
      </c>
      <c r="L435" s="301"/>
      <c r="M435" s="301">
        <f>SUM(J435)</f>
        <v>6745.6</v>
      </c>
      <c r="N435" s="407">
        <f>SUM(K435)</f>
        <v>6745.6</v>
      </c>
      <c r="O435" s="309">
        <v>6745.6</v>
      </c>
      <c r="P435" s="319"/>
      <c r="Q435" s="303"/>
      <c r="R435" s="401">
        <f t="shared" si="100"/>
        <v>100</v>
      </c>
    </row>
    <row r="436" spans="1:18" ht="31.5" x14ac:dyDescent="0.2">
      <c r="A436" s="42"/>
      <c r="B436" s="168" t="s">
        <v>54</v>
      </c>
      <c r="C436" s="169" t="s">
        <v>507</v>
      </c>
      <c r="D436" s="170" t="s">
        <v>55</v>
      </c>
      <c r="E436" s="171"/>
      <c r="F436" s="232"/>
      <c r="G436" s="234"/>
      <c r="H436" s="234"/>
      <c r="I436" s="233"/>
      <c r="J436" s="301">
        <v>6745.6</v>
      </c>
      <c r="K436" s="240">
        <f>SUM(J436)</f>
        <v>6745.6</v>
      </c>
      <c r="L436" s="301"/>
      <c r="M436" s="301">
        <f>SUM(J436)</f>
        <v>6745.6</v>
      </c>
      <c r="N436" s="407">
        <f>SUM(K436)</f>
        <v>6745.6</v>
      </c>
      <c r="O436" s="309">
        <v>6745.6</v>
      </c>
      <c r="P436" s="319"/>
      <c r="Q436" s="303"/>
      <c r="R436" s="401">
        <f t="shared" si="100"/>
        <v>100</v>
      </c>
    </row>
    <row r="437" spans="1:18" ht="37.15" customHeight="1" x14ac:dyDescent="0.2">
      <c r="A437" s="42" t="s">
        <v>436</v>
      </c>
      <c r="B437" s="168" t="s">
        <v>437</v>
      </c>
      <c r="C437" s="169" t="s">
        <v>438</v>
      </c>
      <c r="D437" s="170" t="s">
        <v>26</v>
      </c>
      <c r="E437" s="171"/>
      <c r="F437" s="232">
        <f>F441</f>
        <v>0</v>
      </c>
      <c r="G437" s="234">
        <f>G441</f>
        <v>0</v>
      </c>
      <c r="H437" s="234">
        <f>H441</f>
        <v>0</v>
      </c>
      <c r="I437" s="233">
        <f>I438</f>
        <v>0</v>
      </c>
      <c r="J437" s="240"/>
      <c r="K437" s="240"/>
      <c r="L437" s="240">
        <f>L441</f>
        <v>0</v>
      </c>
      <c r="M437" s="240">
        <f>M441</f>
        <v>0</v>
      </c>
      <c r="N437" s="311">
        <f>N441</f>
        <v>2393.1</v>
      </c>
      <c r="O437" s="309">
        <v>2393.1</v>
      </c>
      <c r="P437" s="319"/>
      <c r="Q437" s="303"/>
      <c r="R437" s="401">
        <f t="shared" si="100"/>
        <v>100</v>
      </c>
    </row>
    <row r="438" spans="1:18" ht="27.6" hidden="1" customHeight="1" x14ac:dyDescent="0.2">
      <c r="A438" s="42"/>
      <c r="B438" s="168" t="s">
        <v>439</v>
      </c>
      <c r="C438" s="169" t="s">
        <v>440</v>
      </c>
      <c r="D438" s="170" t="s">
        <v>26</v>
      </c>
      <c r="E438" s="171"/>
      <c r="F438" s="232">
        <f>F439</f>
        <v>0</v>
      </c>
      <c r="G438" s="234"/>
      <c r="H438" s="234"/>
      <c r="I438" s="233">
        <f>I439</f>
        <v>0</v>
      </c>
      <c r="J438" s="240"/>
      <c r="K438" s="240"/>
      <c r="L438" s="240"/>
      <c r="M438" s="240"/>
      <c r="N438" s="311">
        <f>N439</f>
        <v>0</v>
      </c>
      <c r="O438" s="308"/>
      <c r="P438" s="320"/>
      <c r="Q438" s="303"/>
      <c r="R438" s="401" t="e">
        <f t="shared" si="100"/>
        <v>#DIV/0!</v>
      </c>
    </row>
    <row r="439" spans="1:18" ht="24.6" hidden="1" customHeight="1" x14ac:dyDescent="0.2">
      <c r="A439" s="42"/>
      <c r="B439" s="168" t="s">
        <v>441</v>
      </c>
      <c r="C439" s="169" t="s">
        <v>442</v>
      </c>
      <c r="D439" s="170" t="s">
        <v>26</v>
      </c>
      <c r="E439" s="171"/>
      <c r="F439" s="232"/>
      <c r="G439" s="234"/>
      <c r="H439" s="234"/>
      <c r="I439" s="233">
        <f>I451</f>
        <v>0</v>
      </c>
      <c r="J439" s="234"/>
      <c r="K439" s="234"/>
      <c r="L439" s="234"/>
      <c r="M439" s="234"/>
      <c r="N439" s="406"/>
      <c r="O439" s="308"/>
      <c r="P439" s="320"/>
      <c r="Q439" s="303"/>
      <c r="R439" s="401" t="e">
        <f t="shared" si="100"/>
        <v>#DIV/0!</v>
      </c>
    </row>
    <row r="440" spans="1:18" ht="28.15" hidden="1" customHeight="1" thickBot="1" x14ac:dyDescent="0.25">
      <c r="A440" s="57"/>
      <c r="B440" s="241" t="s">
        <v>41</v>
      </c>
      <c r="C440" s="242" t="s">
        <v>442</v>
      </c>
      <c r="D440" s="170" t="s">
        <v>42</v>
      </c>
      <c r="E440" s="171"/>
      <c r="F440" s="232"/>
      <c r="G440" s="234"/>
      <c r="H440" s="234"/>
      <c r="I440" s="233">
        <v>0</v>
      </c>
      <c r="J440" s="234"/>
      <c r="K440" s="234"/>
      <c r="L440" s="234"/>
      <c r="M440" s="234"/>
      <c r="N440" s="406"/>
      <c r="O440" s="308"/>
      <c r="P440" s="320"/>
      <c r="Q440" s="303"/>
      <c r="R440" s="401" t="e">
        <f t="shared" si="100"/>
        <v>#DIV/0!</v>
      </c>
    </row>
    <row r="441" spans="1:18" ht="47.25" x14ac:dyDescent="0.2">
      <c r="A441" s="57"/>
      <c r="B441" s="197" t="s">
        <v>439</v>
      </c>
      <c r="C441" s="218" t="s">
        <v>440</v>
      </c>
      <c r="D441" s="169"/>
      <c r="E441" s="218"/>
      <c r="F441" s="233">
        <f>SUM(F448)</f>
        <v>0</v>
      </c>
      <c r="G441" s="233">
        <f>SUM(G448)</f>
        <v>0</v>
      </c>
      <c r="H441" s="233">
        <f>SUM(F441)+G441</f>
        <v>0</v>
      </c>
      <c r="I441" s="233"/>
      <c r="J441" s="233"/>
      <c r="K441" s="233"/>
      <c r="L441" s="233">
        <f>SUM(F441)</f>
        <v>0</v>
      </c>
      <c r="M441" s="233">
        <f t="shared" ref="M441:M442" si="106">SUM(G441)</f>
        <v>0</v>
      </c>
      <c r="N441" s="311">
        <v>2393.1</v>
      </c>
      <c r="O441" s="309">
        <v>2393.1</v>
      </c>
      <c r="P441" s="319"/>
      <c r="Q441" s="303"/>
      <c r="R441" s="401">
        <f t="shared" si="100"/>
        <v>100</v>
      </c>
    </row>
    <row r="442" spans="1:18" ht="47.25" x14ac:dyDescent="0.2">
      <c r="A442" s="57"/>
      <c r="B442" s="197" t="s">
        <v>441</v>
      </c>
      <c r="C442" s="199" t="s">
        <v>442</v>
      </c>
      <c r="D442" s="218"/>
      <c r="E442" s="218"/>
      <c r="F442" s="233">
        <f>SUM(F448)</f>
        <v>0</v>
      </c>
      <c r="G442" s="233">
        <f>SUM(G448)</f>
        <v>0</v>
      </c>
      <c r="H442" s="233">
        <f>SUM(F442)+G442</f>
        <v>0</v>
      </c>
      <c r="I442" s="233"/>
      <c r="J442" s="233"/>
      <c r="K442" s="233"/>
      <c r="L442" s="233">
        <f>SUM(F442)</f>
        <v>0</v>
      </c>
      <c r="M442" s="233">
        <f t="shared" si="106"/>
        <v>0</v>
      </c>
      <c r="N442" s="311">
        <v>2393.1</v>
      </c>
      <c r="O442" s="309">
        <v>2393.1</v>
      </c>
      <c r="P442" s="319"/>
      <c r="Q442" s="303"/>
      <c r="R442" s="401">
        <f t="shared" si="100"/>
        <v>100</v>
      </c>
    </row>
    <row r="443" spans="1:18" s="351" customFormat="1" ht="18.75" x14ac:dyDescent="0.2">
      <c r="A443" s="42"/>
      <c r="B443" s="168" t="s">
        <v>41</v>
      </c>
      <c r="C443" s="199" t="s">
        <v>442</v>
      </c>
      <c r="D443" s="169" t="s">
        <v>42</v>
      </c>
      <c r="E443" s="349"/>
      <c r="F443" s="233">
        <v>1935.8</v>
      </c>
      <c r="G443" s="233">
        <f>80+85+20+20.3+63.9+188.1</f>
        <v>457.29999999999995</v>
      </c>
      <c r="H443" s="233">
        <f>SUM(F443)+G443</f>
        <v>2393.1</v>
      </c>
      <c r="I443" s="233"/>
      <c r="J443" s="233"/>
      <c r="K443" s="233"/>
      <c r="L443" s="233">
        <f>SUM(F443)</f>
        <v>1935.8</v>
      </c>
      <c r="M443" s="233">
        <f t="shared" ref="M443" si="107">SUM(G443)</f>
        <v>457.29999999999995</v>
      </c>
      <c r="N443" s="311">
        <f t="shared" ref="N443" si="108">SUM(H443)</f>
        <v>2393.1</v>
      </c>
      <c r="O443" s="309">
        <v>2393.1</v>
      </c>
      <c r="P443" s="350"/>
      <c r="Q443" s="392"/>
      <c r="R443" s="401">
        <f t="shared" ref="R443" si="109">SUM(O443/N443*100)</f>
        <v>100</v>
      </c>
    </row>
    <row r="444" spans="1:18" s="345" customFormat="1" ht="18.75" x14ac:dyDescent="0.2">
      <c r="A444" s="346"/>
      <c r="B444" s="347"/>
      <c r="C444" s="336"/>
      <c r="D444" s="337"/>
      <c r="E444" s="337"/>
      <c r="F444" s="330"/>
      <c r="G444" s="330"/>
      <c r="H444" s="330"/>
      <c r="I444" s="330"/>
      <c r="J444" s="330"/>
      <c r="K444" s="330"/>
      <c r="L444" s="330"/>
      <c r="M444" s="330"/>
      <c r="N444" s="330"/>
      <c r="O444" s="319"/>
      <c r="P444" s="319"/>
      <c r="R444" s="348"/>
    </row>
    <row r="445" spans="1:18" s="345" customFormat="1" ht="18.75" x14ac:dyDescent="0.2">
      <c r="A445" s="346"/>
      <c r="B445" s="347" t="s">
        <v>523</v>
      </c>
      <c r="C445" s="336"/>
      <c r="D445" s="337"/>
      <c r="E445" s="337"/>
      <c r="F445" s="330"/>
      <c r="G445" s="330"/>
      <c r="H445" s="330"/>
      <c r="I445" s="330"/>
      <c r="J445" s="330"/>
      <c r="K445" s="330"/>
      <c r="L445" s="330"/>
      <c r="M445" s="330"/>
      <c r="N445" s="330"/>
      <c r="O445" s="319"/>
      <c r="P445" s="319"/>
      <c r="R445" s="348"/>
    </row>
    <row r="446" spans="1:18" s="345" customFormat="1" ht="18.75" x14ac:dyDescent="0.2">
      <c r="A446" s="346"/>
      <c r="B446" s="347" t="s">
        <v>524</v>
      </c>
      <c r="C446" s="336"/>
      <c r="D446" s="337"/>
      <c r="E446" s="337"/>
      <c r="F446" s="330"/>
      <c r="G446" s="330"/>
      <c r="H446" s="330"/>
      <c r="I446" s="330"/>
      <c r="J446" s="330"/>
      <c r="K446" s="330"/>
      <c r="L446" s="330"/>
      <c r="M446" s="330"/>
      <c r="N446" s="330"/>
      <c r="O446" s="319"/>
      <c r="P446" s="319"/>
      <c r="R446" s="348"/>
    </row>
    <row r="447" spans="1:18" s="345" customFormat="1" ht="18" customHeight="1" x14ac:dyDescent="0.2">
      <c r="A447" s="346"/>
      <c r="B447" s="347" t="s">
        <v>525</v>
      </c>
      <c r="C447" s="336"/>
      <c r="D447" s="337"/>
      <c r="E447" s="337"/>
      <c r="F447" s="330"/>
      <c r="G447" s="330"/>
      <c r="H447" s="330"/>
      <c r="I447" s="330"/>
      <c r="J447" s="330"/>
      <c r="K447" s="330"/>
      <c r="L447" s="330"/>
      <c r="M447" s="330"/>
      <c r="N447" s="330"/>
      <c r="P447" s="319"/>
      <c r="R447" s="319" t="s">
        <v>526</v>
      </c>
    </row>
    <row r="448" spans="1:18" s="345" customFormat="1" ht="23.25" hidden="1" x14ac:dyDescent="0.25">
      <c r="A448" s="339"/>
      <c r="B448" s="352"/>
      <c r="C448" s="340"/>
      <c r="D448" s="341"/>
      <c r="E448" s="341"/>
      <c r="F448" s="342"/>
      <c r="G448" s="342"/>
      <c r="H448" s="342"/>
      <c r="I448" s="342"/>
      <c r="J448" s="342"/>
      <c r="K448" s="342"/>
      <c r="L448" s="342"/>
      <c r="M448" s="342"/>
      <c r="N448" s="342"/>
      <c r="O448" s="338"/>
      <c r="P448" s="338"/>
      <c r="Q448" s="343"/>
      <c r="R448" s="344"/>
    </row>
    <row r="449" spans="1:18" ht="21" hidden="1" customHeight="1" x14ac:dyDescent="0.2">
      <c r="A449" s="410"/>
      <c r="B449" s="411"/>
      <c r="C449" s="411"/>
      <c r="D449" s="411"/>
      <c r="E449" s="411"/>
      <c r="F449" s="411"/>
      <c r="G449" s="411"/>
      <c r="H449" s="411"/>
      <c r="I449" s="411"/>
      <c r="J449" s="411"/>
      <c r="K449" s="411"/>
      <c r="L449" s="411"/>
      <c r="M449" s="411"/>
      <c r="N449" s="411"/>
      <c r="O449" s="411"/>
      <c r="P449" s="411"/>
      <c r="Q449" s="411"/>
      <c r="R449" s="412"/>
    </row>
    <row r="450" spans="1:18" ht="46.5" hidden="1" customHeight="1" x14ac:dyDescent="0.2">
      <c r="A450" s="410"/>
      <c r="B450" s="411"/>
      <c r="C450" s="411"/>
      <c r="D450" s="411"/>
      <c r="E450" s="411"/>
      <c r="F450" s="411"/>
      <c r="G450" s="411"/>
      <c r="H450" s="411"/>
      <c r="I450" s="411"/>
      <c r="J450" s="411"/>
      <c r="K450" s="411"/>
      <c r="L450" s="411"/>
      <c r="M450" s="411"/>
      <c r="N450" s="411"/>
      <c r="O450" s="411"/>
      <c r="P450" s="411"/>
      <c r="Q450" s="411"/>
      <c r="R450" s="412"/>
    </row>
    <row r="451" spans="1:18" ht="16.5" hidden="1" customHeight="1" x14ac:dyDescent="0.2">
      <c r="A451" s="413"/>
      <c r="B451" s="411"/>
      <c r="C451" s="411"/>
      <c r="D451" s="411"/>
      <c r="E451" s="411"/>
      <c r="F451" s="411"/>
      <c r="G451" s="411"/>
      <c r="H451" s="411"/>
      <c r="I451" s="411"/>
      <c r="J451" s="411"/>
      <c r="K451" s="411"/>
      <c r="L451" s="411"/>
      <c r="M451" s="411"/>
      <c r="N451" s="411"/>
      <c r="O451" s="411"/>
      <c r="P451" s="411"/>
      <c r="Q451" s="411"/>
      <c r="R451" s="412"/>
    </row>
    <row r="452" spans="1:18" ht="18.75" x14ac:dyDescent="0.2">
      <c r="A452" s="303" t="s">
        <v>522</v>
      </c>
      <c r="B452" s="244"/>
      <c r="C452" s="244"/>
      <c r="D452" s="244"/>
      <c r="E452" s="244"/>
      <c r="F452" s="244"/>
      <c r="G452" s="244"/>
      <c r="H452" s="244"/>
      <c r="I452" s="244"/>
      <c r="J452" s="244"/>
      <c r="K452" s="244"/>
      <c r="L452" s="244"/>
      <c r="M452" s="244"/>
      <c r="N452" s="244"/>
      <c r="O452" s="178"/>
      <c r="P452" s="178"/>
    </row>
    <row r="453" spans="1:18" ht="18.75" x14ac:dyDescent="0.2">
      <c r="B453" s="244"/>
      <c r="C453" s="244"/>
      <c r="D453" s="244"/>
      <c r="E453" s="244"/>
      <c r="F453" s="244"/>
      <c r="G453" s="244"/>
      <c r="H453" s="244"/>
      <c r="I453" s="244"/>
      <c r="J453" s="244"/>
      <c r="K453" s="244"/>
      <c r="L453" s="244"/>
      <c r="M453" s="244"/>
      <c r="N453" s="244"/>
      <c r="O453" s="178"/>
      <c r="P453" s="178"/>
    </row>
    <row r="454" spans="1:18" ht="18.75" x14ac:dyDescent="0.2">
      <c r="B454" s="244"/>
      <c r="C454" s="244"/>
      <c r="D454" s="244"/>
      <c r="E454" s="244"/>
      <c r="F454" s="244"/>
      <c r="G454" s="244"/>
      <c r="H454" s="244"/>
      <c r="I454" s="244"/>
      <c r="J454" s="244"/>
      <c r="K454" s="244"/>
      <c r="L454" s="244"/>
      <c r="M454" s="244"/>
      <c r="N454" s="244"/>
      <c r="O454" s="178"/>
      <c r="P454" s="178"/>
    </row>
    <row r="455" spans="1:18" ht="18.75" x14ac:dyDescent="0.2">
      <c r="B455" s="244"/>
      <c r="C455" s="244"/>
      <c r="D455" s="244"/>
      <c r="E455" s="244"/>
      <c r="F455" s="244"/>
      <c r="G455" s="244"/>
      <c r="H455" s="244"/>
      <c r="I455" s="244"/>
      <c r="J455" s="244"/>
      <c r="K455" s="244"/>
      <c r="L455" s="244"/>
      <c r="M455" s="244"/>
      <c r="N455" s="244"/>
      <c r="O455" s="178"/>
      <c r="P455" s="178"/>
    </row>
    <row r="456" spans="1:18" ht="18.75" x14ac:dyDescent="0.2">
      <c r="B456" s="244"/>
      <c r="C456" s="244"/>
      <c r="D456" s="244"/>
      <c r="E456" s="244"/>
      <c r="F456" s="244"/>
      <c r="G456" s="244"/>
      <c r="H456" s="244"/>
      <c r="I456" s="244"/>
      <c r="J456" s="244"/>
      <c r="K456" s="244"/>
      <c r="L456" s="244"/>
      <c r="M456" s="244"/>
      <c r="N456" s="244"/>
      <c r="O456" s="178"/>
      <c r="P456" s="178"/>
    </row>
    <row r="457" spans="1:18" ht="18.75" x14ac:dyDescent="0.2">
      <c r="B457" s="244"/>
      <c r="C457" s="244"/>
      <c r="D457" s="244"/>
      <c r="E457" s="244"/>
      <c r="F457" s="244"/>
      <c r="G457" s="244"/>
      <c r="H457" s="244"/>
      <c r="I457" s="244"/>
      <c r="J457" s="244"/>
      <c r="K457" s="244"/>
      <c r="L457" s="244"/>
      <c r="M457" s="244"/>
      <c r="N457" s="244"/>
      <c r="O457" s="178"/>
      <c r="P457" s="178"/>
    </row>
    <row r="458" spans="1:18" ht="18.75" x14ac:dyDescent="0.2">
      <c r="B458" s="244"/>
      <c r="C458" s="244"/>
      <c r="D458" s="244"/>
      <c r="E458" s="244"/>
      <c r="F458" s="244"/>
      <c r="G458" s="244"/>
      <c r="H458" s="244"/>
      <c r="I458" s="244"/>
      <c r="J458" s="244"/>
      <c r="K458" s="244"/>
      <c r="L458" s="244"/>
      <c r="M458" s="244"/>
      <c r="N458" s="244"/>
      <c r="O458" s="178"/>
      <c r="P458" s="178"/>
    </row>
    <row r="459" spans="1:18" ht="18.75" x14ac:dyDescent="0.2">
      <c r="B459" s="244"/>
      <c r="C459" s="244"/>
      <c r="D459" s="244"/>
      <c r="E459" s="244"/>
      <c r="F459" s="244"/>
      <c r="G459" s="244"/>
      <c r="H459" s="244"/>
      <c r="I459" s="244"/>
      <c r="J459" s="244"/>
      <c r="K459" s="244"/>
      <c r="L459" s="244"/>
      <c r="M459" s="244"/>
      <c r="N459" s="244"/>
      <c r="O459" s="178"/>
      <c r="P459" s="178"/>
    </row>
    <row r="460" spans="1:18" ht="18.75" x14ac:dyDescent="0.2">
      <c r="B460" s="244"/>
      <c r="C460" s="244"/>
      <c r="D460" s="244"/>
      <c r="E460" s="244"/>
      <c r="F460" s="244"/>
      <c r="G460" s="244"/>
      <c r="H460" s="244"/>
      <c r="I460" s="244"/>
      <c r="J460" s="244"/>
      <c r="K460" s="244"/>
      <c r="L460" s="244"/>
      <c r="M460" s="244"/>
      <c r="N460" s="244"/>
      <c r="O460" s="178"/>
      <c r="P460" s="178"/>
    </row>
    <row r="461" spans="1:18" ht="18.75" x14ac:dyDescent="0.2">
      <c r="B461" s="244"/>
      <c r="C461" s="244"/>
      <c r="D461" s="244"/>
      <c r="E461" s="244"/>
      <c r="F461" s="244"/>
      <c r="G461" s="244"/>
      <c r="H461" s="244"/>
      <c r="I461" s="244"/>
      <c r="J461" s="244"/>
      <c r="K461" s="244"/>
      <c r="L461" s="244"/>
      <c r="M461" s="244"/>
      <c r="N461" s="244"/>
      <c r="O461" s="178"/>
      <c r="P461" s="178"/>
    </row>
    <row r="462" spans="1:18" ht="18.75" x14ac:dyDescent="0.2">
      <c r="B462" s="244"/>
      <c r="C462" s="244"/>
      <c r="D462" s="244"/>
      <c r="E462" s="244"/>
      <c r="F462" s="244"/>
      <c r="G462" s="244"/>
      <c r="H462" s="244"/>
      <c r="I462" s="244"/>
      <c r="J462" s="244"/>
      <c r="K462" s="244"/>
      <c r="L462" s="244"/>
      <c r="M462" s="244"/>
      <c r="N462" s="244"/>
      <c r="O462" s="178"/>
      <c r="P462" s="178"/>
    </row>
    <row r="463" spans="1:18" ht="18.75" x14ac:dyDescent="0.2">
      <c r="B463" s="244"/>
      <c r="C463" s="244"/>
      <c r="D463" s="244"/>
      <c r="E463" s="244"/>
      <c r="F463" s="244"/>
      <c r="G463" s="244"/>
      <c r="H463" s="244"/>
      <c r="I463" s="244"/>
      <c r="J463" s="244"/>
      <c r="K463" s="244"/>
      <c r="L463" s="244"/>
      <c r="M463" s="244"/>
      <c r="N463" s="244"/>
      <c r="O463" s="178"/>
      <c r="P463" s="178"/>
    </row>
    <row r="464" spans="1:18" ht="18.75" x14ac:dyDescent="0.2">
      <c r="B464" s="244"/>
      <c r="C464" s="244"/>
      <c r="D464" s="244"/>
      <c r="E464" s="244"/>
      <c r="F464" s="244"/>
      <c r="G464" s="244"/>
      <c r="H464" s="244"/>
      <c r="I464" s="244"/>
      <c r="J464" s="244"/>
      <c r="K464" s="244"/>
      <c r="L464" s="244"/>
      <c r="M464" s="244"/>
      <c r="N464" s="244"/>
      <c r="O464" s="178"/>
      <c r="P464" s="178"/>
    </row>
    <row r="465" spans="2:16" ht="18.75" x14ac:dyDescent="0.2">
      <c r="B465" s="244"/>
      <c r="C465" s="244"/>
      <c r="D465" s="244"/>
      <c r="E465" s="244"/>
      <c r="F465" s="244"/>
      <c r="G465" s="244"/>
      <c r="H465" s="244"/>
      <c r="I465" s="244"/>
      <c r="J465" s="244"/>
      <c r="K465" s="244"/>
      <c r="L465" s="244"/>
      <c r="M465" s="244"/>
      <c r="N465" s="244"/>
      <c r="O465" s="178"/>
      <c r="P465" s="178"/>
    </row>
    <row r="466" spans="2:16" ht="18.75" x14ac:dyDescent="0.2">
      <c r="B466" s="244"/>
      <c r="C466" s="244"/>
      <c r="D466" s="244"/>
      <c r="E466" s="244"/>
      <c r="F466" s="244"/>
      <c r="G466" s="244"/>
      <c r="H466" s="244"/>
      <c r="I466" s="244"/>
      <c r="J466" s="244"/>
      <c r="K466" s="244"/>
      <c r="L466" s="244"/>
      <c r="M466" s="244"/>
      <c r="N466" s="244"/>
      <c r="O466" s="178"/>
      <c r="P466" s="178"/>
    </row>
    <row r="467" spans="2:16" ht="18.75" x14ac:dyDescent="0.2">
      <c r="B467" s="244"/>
      <c r="C467" s="244"/>
      <c r="D467" s="244"/>
      <c r="E467" s="244"/>
      <c r="F467" s="244"/>
      <c r="G467" s="244"/>
      <c r="H467" s="244"/>
      <c r="I467" s="244"/>
      <c r="J467" s="244"/>
      <c r="K467" s="244"/>
      <c r="L467" s="244"/>
      <c r="M467" s="244"/>
      <c r="N467" s="244"/>
      <c r="O467" s="178"/>
      <c r="P467" s="178"/>
    </row>
    <row r="468" spans="2:16" ht="18.75" x14ac:dyDescent="0.2">
      <c r="B468" s="244"/>
      <c r="C468" s="244"/>
      <c r="D468" s="244"/>
      <c r="E468" s="244"/>
      <c r="F468" s="244"/>
      <c r="G468" s="244"/>
      <c r="H468" s="244"/>
      <c r="I468" s="244"/>
      <c r="J468" s="244"/>
      <c r="K468" s="244"/>
      <c r="L468" s="244"/>
      <c r="M468" s="244"/>
      <c r="N468" s="244"/>
      <c r="O468" s="178"/>
      <c r="P468" s="178"/>
    </row>
    <row r="469" spans="2:16" ht="18.75" x14ac:dyDescent="0.2">
      <c r="B469" s="244"/>
      <c r="C469" s="244"/>
      <c r="D469" s="244"/>
      <c r="E469" s="244"/>
      <c r="F469" s="244"/>
      <c r="G469" s="244"/>
      <c r="H469" s="244"/>
      <c r="I469" s="244"/>
      <c r="J469" s="244"/>
      <c r="K469" s="244"/>
      <c r="L469" s="244"/>
      <c r="M469" s="244"/>
      <c r="N469" s="244"/>
      <c r="O469" s="178"/>
      <c r="P469" s="178"/>
    </row>
    <row r="470" spans="2:16" ht="18.75" x14ac:dyDescent="0.2">
      <c r="B470" s="244"/>
      <c r="C470" s="244"/>
      <c r="D470" s="244"/>
      <c r="E470" s="244"/>
      <c r="F470" s="244"/>
      <c r="G470" s="244"/>
      <c r="H470" s="244"/>
      <c r="I470" s="244"/>
      <c r="J470" s="244"/>
      <c r="K470" s="244"/>
      <c r="L470" s="244"/>
      <c r="M470" s="244"/>
      <c r="N470" s="244"/>
      <c r="O470" s="178"/>
      <c r="P470" s="178"/>
    </row>
    <row r="471" spans="2:16" ht="18.75" x14ac:dyDescent="0.2">
      <c r="B471" s="244"/>
      <c r="C471" s="244"/>
      <c r="D471" s="244"/>
      <c r="E471" s="244"/>
      <c r="F471" s="244"/>
      <c r="G471" s="244"/>
      <c r="H471" s="244"/>
      <c r="I471" s="244"/>
      <c r="J471" s="244"/>
      <c r="K471" s="244"/>
      <c r="L471" s="244"/>
      <c r="M471" s="244"/>
      <c r="N471" s="244"/>
      <c r="O471" s="178"/>
      <c r="P471" s="178"/>
    </row>
    <row r="472" spans="2:16" ht="18.75" x14ac:dyDescent="0.2">
      <c r="B472" s="244"/>
      <c r="C472" s="244"/>
      <c r="D472" s="244"/>
      <c r="E472" s="244"/>
      <c r="F472" s="244"/>
      <c r="G472" s="244"/>
      <c r="H472" s="244"/>
      <c r="I472" s="244"/>
      <c r="J472" s="244"/>
      <c r="K472" s="244"/>
      <c r="L472" s="244"/>
      <c r="M472" s="244"/>
      <c r="N472" s="244"/>
      <c r="O472" s="178"/>
      <c r="P472" s="178"/>
    </row>
    <row r="473" spans="2:16" ht="18.75" x14ac:dyDescent="0.2">
      <c r="B473" s="244"/>
      <c r="C473" s="244"/>
      <c r="D473" s="244"/>
      <c r="E473" s="244"/>
      <c r="F473" s="244"/>
      <c r="G473" s="244"/>
      <c r="H473" s="244"/>
      <c r="I473" s="244"/>
      <c r="J473" s="244"/>
      <c r="K473" s="244"/>
      <c r="L473" s="244"/>
      <c r="M473" s="244"/>
      <c r="N473" s="244"/>
      <c r="O473" s="178"/>
      <c r="P473" s="178"/>
    </row>
    <row r="474" spans="2:16" ht="18.75" x14ac:dyDescent="0.2">
      <c r="B474" s="244"/>
      <c r="C474" s="244"/>
      <c r="D474" s="244"/>
      <c r="E474" s="244"/>
      <c r="F474" s="244"/>
      <c r="G474" s="244"/>
      <c r="H474" s="244"/>
      <c r="I474" s="244"/>
      <c r="J474" s="244"/>
      <c r="K474" s="244"/>
      <c r="L474" s="244"/>
      <c r="M474" s="244"/>
      <c r="N474" s="244"/>
      <c r="O474" s="178"/>
      <c r="P474" s="178"/>
    </row>
    <row r="475" spans="2:16" ht="18.75" x14ac:dyDescent="0.2">
      <c r="B475" s="244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44"/>
      <c r="N475" s="244"/>
      <c r="O475" s="178"/>
      <c r="P475" s="178"/>
    </row>
    <row r="476" spans="2:16" ht="18.75" x14ac:dyDescent="0.2">
      <c r="B476" s="244"/>
      <c r="C476" s="244"/>
      <c r="D476" s="244"/>
      <c r="E476" s="244"/>
      <c r="F476" s="244"/>
      <c r="G476" s="244"/>
      <c r="H476" s="244"/>
      <c r="I476" s="244"/>
      <c r="J476" s="244"/>
      <c r="K476" s="244"/>
      <c r="L476" s="244"/>
      <c r="M476" s="244"/>
      <c r="N476" s="244"/>
      <c r="O476" s="178"/>
      <c r="P476" s="178"/>
    </row>
    <row r="477" spans="2:16" ht="18.75" x14ac:dyDescent="0.2">
      <c r="B477" s="244"/>
      <c r="C477" s="244"/>
      <c r="D477" s="244"/>
      <c r="E477" s="244"/>
      <c r="F477" s="244"/>
      <c r="G477" s="244"/>
      <c r="H477" s="244"/>
      <c r="I477" s="244"/>
      <c r="J477" s="244"/>
      <c r="K477" s="244"/>
      <c r="L477" s="244"/>
      <c r="M477" s="244"/>
      <c r="N477" s="244"/>
      <c r="O477" s="178"/>
      <c r="P477" s="178"/>
    </row>
    <row r="478" spans="2:16" ht="18.75" x14ac:dyDescent="0.2">
      <c r="B478" s="244"/>
      <c r="C478" s="244"/>
      <c r="D478" s="244"/>
      <c r="E478" s="244"/>
      <c r="F478" s="244"/>
      <c r="G478" s="244"/>
      <c r="H478" s="244"/>
      <c r="I478" s="244"/>
      <c r="J478" s="244"/>
      <c r="K478" s="244"/>
      <c r="L478" s="244"/>
      <c r="M478" s="244"/>
      <c r="N478" s="244"/>
      <c r="O478" s="178"/>
      <c r="P478" s="178"/>
    </row>
    <row r="479" spans="2:16" ht="18.75" x14ac:dyDescent="0.2">
      <c r="B479" s="244"/>
      <c r="C479" s="244"/>
      <c r="D479" s="244"/>
      <c r="E479" s="244"/>
      <c r="F479" s="244"/>
      <c r="G479" s="244"/>
      <c r="H479" s="244"/>
      <c r="I479" s="244"/>
      <c r="J479" s="244"/>
      <c r="K479" s="244"/>
      <c r="L479" s="244"/>
      <c r="M479" s="244"/>
      <c r="N479" s="244"/>
      <c r="O479" s="178"/>
      <c r="P479" s="178"/>
    </row>
    <row r="480" spans="2:16" ht="18.75" x14ac:dyDescent="0.2">
      <c r="B480" s="244"/>
      <c r="C480" s="244"/>
      <c r="D480" s="244"/>
      <c r="E480" s="244"/>
      <c r="F480" s="244"/>
      <c r="G480" s="244"/>
      <c r="H480" s="244"/>
      <c r="I480" s="244"/>
      <c r="J480" s="244"/>
      <c r="K480" s="244"/>
      <c r="L480" s="244"/>
      <c r="M480" s="244"/>
      <c r="N480" s="244"/>
      <c r="O480" s="178"/>
      <c r="P480" s="178"/>
    </row>
    <row r="481" spans="2:16" ht="18.75" x14ac:dyDescent="0.2">
      <c r="B481" s="244"/>
      <c r="C481" s="244"/>
      <c r="D481" s="244"/>
      <c r="E481" s="244"/>
      <c r="F481" s="244"/>
      <c r="G481" s="244"/>
      <c r="H481" s="244"/>
      <c r="I481" s="244"/>
      <c r="J481" s="244"/>
      <c r="K481" s="244"/>
      <c r="L481" s="244"/>
      <c r="M481" s="244"/>
      <c r="N481" s="244"/>
      <c r="O481" s="178"/>
      <c r="P481" s="178"/>
    </row>
    <row r="482" spans="2:16" x14ac:dyDescent="0.2">
      <c r="B482" s="244"/>
      <c r="C482" s="244"/>
      <c r="D482" s="244"/>
      <c r="E482" s="244"/>
      <c r="F482" s="244"/>
      <c r="G482" s="244"/>
      <c r="H482" s="244"/>
      <c r="I482" s="244"/>
      <c r="J482" s="244"/>
      <c r="K482" s="244"/>
      <c r="L482" s="244"/>
      <c r="M482" s="244"/>
      <c r="N482" s="244"/>
      <c r="O482" s="244"/>
      <c r="P482" s="244"/>
    </row>
    <row r="483" spans="2:16" x14ac:dyDescent="0.2">
      <c r="B483" s="244"/>
      <c r="C483" s="244"/>
      <c r="D483" s="244"/>
      <c r="E483" s="244"/>
      <c r="F483" s="244"/>
      <c r="G483" s="244"/>
      <c r="H483" s="244"/>
      <c r="I483" s="244"/>
      <c r="J483" s="244"/>
      <c r="K483" s="244"/>
      <c r="L483" s="244"/>
      <c r="M483" s="244"/>
      <c r="N483" s="244"/>
      <c r="O483" s="244"/>
      <c r="P483" s="244"/>
    </row>
    <row r="484" spans="2:16" x14ac:dyDescent="0.2">
      <c r="B484" s="244"/>
      <c r="C484" s="244"/>
      <c r="D484" s="244"/>
      <c r="E484" s="244"/>
      <c r="F484" s="244"/>
      <c r="G484" s="244"/>
      <c r="H484" s="244"/>
      <c r="I484" s="244"/>
      <c r="J484" s="244"/>
      <c r="K484" s="244"/>
      <c r="L484" s="244"/>
      <c r="M484" s="244"/>
      <c r="N484" s="244"/>
      <c r="O484" s="244"/>
      <c r="P484" s="244"/>
    </row>
    <row r="485" spans="2:16" x14ac:dyDescent="0.2">
      <c r="B485" s="244"/>
      <c r="C485" s="244"/>
      <c r="D485" s="244"/>
      <c r="E485" s="244"/>
      <c r="F485" s="244"/>
      <c r="G485" s="244"/>
      <c r="H485" s="244"/>
      <c r="I485" s="244"/>
      <c r="J485" s="244"/>
      <c r="K485" s="244"/>
      <c r="L485" s="244"/>
      <c r="M485" s="244"/>
      <c r="N485" s="244"/>
      <c r="O485" s="244"/>
      <c r="P485" s="244"/>
    </row>
    <row r="486" spans="2:16" x14ac:dyDescent="0.2">
      <c r="B486" s="244"/>
      <c r="C486" s="244"/>
      <c r="D486" s="244"/>
      <c r="E486" s="244"/>
      <c r="F486" s="244"/>
      <c r="G486" s="244"/>
      <c r="H486" s="244"/>
      <c r="I486" s="244"/>
      <c r="J486" s="244"/>
      <c r="K486" s="244"/>
      <c r="L486" s="244"/>
      <c r="M486" s="244"/>
      <c r="N486" s="244"/>
      <c r="O486" s="244"/>
      <c r="P486" s="244"/>
    </row>
    <row r="487" spans="2:16" x14ac:dyDescent="0.2">
      <c r="B487" s="244"/>
      <c r="C487" s="244"/>
      <c r="D487" s="244"/>
      <c r="E487" s="244"/>
      <c r="F487" s="244"/>
      <c r="G487" s="244"/>
      <c r="H487" s="244"/>
      <c r="I487" s="244"/>
      <c r="J487" s="244"/>
      <c r="K487" s="244"/>
      <c r="L487" s="244"/>
      <c r="M487" s="244"/>
      <c r="N487" s="244"/>
      <c r="O487" s="244"/>
      <c r="P487" s="244"/>
    </row>
    <row r="488" spans="2:16" x14ac:dyDescent="0.2">
      <c r="B488" s="244"/>
      <c r="C488" s="244"/>
      <c r="D488" s="244"/>
      <c r="E488" s="244"/>
      <c r="F488" s="244"/>
      <c r="G488" s="244"/>
      <c r="H488" s="244"/>
      <c r="I488" s="244"/>
      <c r="J488" s="244"/>
      <c r="K488" s="244"/>
      <c r="L488" s="244"/>
      <c r="M488" s="244"/>
      <c r="N488" s="244"/>
      <c r="O488" s="244"/>
      <c r="P488" s="244"/>
    </row>
    <row r="489" spans="2:16" x14ac:dyDescent="0.2">
      <c r="B489" s="244"/>
      <c r="C489" s="244"/>
      <c r="D489" s="244"/>
      <c r="E489" s="244"/>
      <c r="F489" s="244"/>
      <c r="G489" s="244"/>
      <c r="H489" s="244"/>
      <c r="I489" s="244"/>
      <c r="J489" s="244"/>
      <c r="K489" s="244"/>
      <c r="L489" s="244"/>
      <c r="M489" s="244"/>
      <c r="N489" s="244"/>
      <c r="O489" s="244"/>
      <c r="P489" s="244"/>
    </row>
    <row r="490" spans="2:16" x14ac:dyDescent="0.2">
      <c r="B490" s="244"/>
      <c r="C490" s="244"/>
      <c r="D490" s="244"/>
      <c r="E490" s="244"/>
      <c r="F490" s="244"/>
      <c r="G490" s="244"/>
      <c r="H490" s="244"/>
      <c r="I490" s="244"/>
      <c r="J490" s="244"/>
      <c r="K490" s="244"/>
      <c r="L490" s="244"/>
      <c r="M490" s="244"/>
      <c r="N490" s="244"/>
      <c r="O490" s="244"/>
      <c r="P490" s="244"/>
    </row>
    <row r="491" spans="2:16" x14ac:dyDescent="0.2">
      <c r="B491" s="244"/>
      <c r="C491" s="244"/>
      <c r="D491" s="244"/>
      <c r="E491" s="244"/>
      <c r="F491" s="244"/>
      <c r="G491" s="244"/>
      <c r="H491" s="244"/>
      <c r="I491" s="244"/>
      <c r="J491" s="244"/>
      <c r="K491" s="244"/>
      <c r="L491" s="244"/>
      <c r="M491" s="244"/>
      <c r="N491" s="244"/>
      <c r="O491" s="244"/>
      <c r="P491" s="244"/>
    </row>
    <row r="492" spans="2:16" x14ac:dyDescent="0.2">
      <c r="B492" s="244"/>
      <c r="C492" s="244"/>
      <c r="D492" s="244"/>
      <c r="E492" s="244"/>
      <c r="F492" s="244"/>
      <c r="G492" s="244"/>
      <c r="H492" s="244"/>
      <c r="I492" s="244"/>
      <c r="J492" s="244"/>
      <c r="K492" s="244"/>
      <c r="L492" s="244"/>
      <c r="M492" s="244"/>
      <c r="N492" s="244"/>
      <c r="O492" s="244"/>
      <c r="P492" s="244"/>
    </row>
    <row r="493" spans="2:16" x14ac:dyDescent="0.2">
      <c r="B493" s="244"/>
      <c r="C493" s="244"/>
      <c r="D493" s="244"/>
      <c r="E493" s="244"/>
      <c r="F493" s="244"/>
      <c r="G493" s="244"/>
      <c r="H493" s="244"/>
      <c r="I493" s="244"/>
      <c r="J493" s="244"/>
      <c r="K493" s="244"/>
      <c r="L493" s="244"/>
      <c r="M493" s="244"/>
      <c r="N493" s="244"/>
      <c r="O493" s="244"/>
      <c r="P493" s="244"/>
    </row>
    <row r="494" spans="2:16" x14ac:dyDescent="0.2">
      <c r="B494" s="244"/>
      <c r="C494" s="244"/>
      <c r="D494" s="244"/>
      <c r="E494" s="244"/>
      <c r="F494" s="244"/>
      <c r="G494" s="244"/>
      <c r="H494" s="244"/>
      <c r="I494" s="244"/>
      <c r="J494" s="244"/>
      <c r="K494" s="244"/>
      <c r="L494" s="244"/>
      <c r="M494" s="244"/>
      <c r="N494" s="244"/>
      <c r="O494" s="244"/>
      <c r="P494" s="244"/>
    </row>
    <row r="495" spans="2:16" x14ac:dyDescent="0.2">
      <c r="B495" s="244"/>
      <c r="C495" s="244"/>
      <c r="D495" s="244"/>
      <c r="E495" s="244"/>
      <c r="F495" s="244"/>
      <c r="G495" s="244"/>
      <c r="H495" s="244"/>
      <c r="I495" s="244"/>
      <c r="J495" s="244"/>
      <c r="K495" s="244"/>
      <c r="L495" s="244"/>
      <c r="M495" s="244"/>
      <c r="N495" s="244"/>
      <c r="O495" s="244"/>
      <c r="P495" s="244"/>
    </row>
    <row r="496" spans="2:16" x14ac:dyDescent="0.2">
      <c r="B496" s="244"/>
      <c r="C496" s="244"/>
      <c r="D496" s="244"/>
      <c r="E496" s="244"/>
      <c r="F496" s="244"/>
      <c r="G496" s="244"/>
      <c r="H496" s="244"/>
      <c r="I496" s="244"/>
      <c r="J496" s="244"/>
      <c r="K496" s="244"/>
      <c r="L496" s="244"/>
      <c r="M496" s="244"/>
      <c r="N496" s="244"/>
      <c r="O496" s="244"/>
      <c r="P496" s="244"/>
    </row>
    <row r="497" spans="2:16" x14ac:dyDescent="0.2">
      <c r="B497" s="244"/>
      <c r="C497" s="244"/>
      <c r="D497" s="244"/>
      <c r="E497" s="244"/>
      <c r="F497" s="244"/>
      <c r="G497" s="244"/>
      <c r="H497" s="244"/>
      <c r="I497" s="244"/>
      <c r="J497" s="244"/>
      <c r="K497" s="244"/>
      <c r="L497" s="244"/>
      <c r="M497" s="244"/>
      <c r="N497" s="244"/>
      <c r="O497" s="244"/>
      <c r="P497" s="244"/>
    </row>
    <row r="498" spans="2:16" x14ac:dyDescent="0.2">
      <c r="B498" s="244"/>
      <c r="C498" s="244"/>
      <c r="D498" s="244"/>
      <c r="E498" s="244"/>
      <c r="F498" s="244"/>
      <c r="G498" s="244"/>
      <c r="H498" s="244"/>
      <c r="I498" s="244"/>
      <c r="J498" s="244"/>
      <c r="K498" s="244"/>
      <c r="L498" s="244"/>
      <c r="M498" s="244"/>
      <c r="N498" s="244"/>
      <c r="O498" s="244"/>
      <c r="P498" s="244"/>
    </row>
    <row r="499" spans="2:16" x14ac:dyDescent="0.2">
      <c r="B499" s="244"/>
      <c r="C499" s="244"/>
      <c r="D499" s="244"/>
      <c r="E499" s="244"/>
      <c r="F499" s="244"/>
      <c r="G499" s="244"/>
      <c r="H499" s="244"/>
      <c r="I499" s="244"/>
      <c r="J499" s="244"/>
      <c r="K499" s="244"/>
      <c r="L499" s="244"/>
      <c r="M499" s="244"/>
      <c r="N499" s="244"/>
      <c r="O499" s="244"/>
      <c r="P499" s="244"/>
    </row>
    <row r="500" spans="2:16" x14ac:dyDescent="0.2">
      <c r="B500" s="244"/>
      <c r="C500" s="244"/>
      <c r="D500" s="244"/>
      <c r="E500" s="244"/>
      <c r="F500" s="244"/>
      <c r="G500" s="244"/>
      <c r="H500" s="244"/>
      <c r="I500" s="244"/>
      <c r="J500" s="244"/>
      <c r="K500" s="244"/>
      <c r="L500" s="244"/>
      <c r="M500" s="244"/>
      <c r="N500" s="244"/>
      <c r="O500" s="244"/>
      <c r="P500" s="244"/>
    </row>
    <row r="501" spans="2:16" x14ac:dyDescent="0.2">
      <c r="B501" s="244"/>
      <c r="C501" s="244"/>
      <c r="D501" s="244"/>
      <c r="E501" s="244"/>
      <c r="F501" s="244"/>
      <c r="G501" s="244"/>
      <c r="H501" s="244"/>
      <c r="I501" s="244"/>
      <c r="J501" s="244"/>
      <c r="K501" s="244"/>
      <c r="L501" s="244"/>
      <c r="M501" s="244"/>
      <c r="N501" s="244"/>
      <c r="O501" s="244"/>
      <c r="P501" s="244"/>
    </row>
    <row r="502" spans="2:16" x14ac:dyDescent="0.2">
      <c r="B502" s="244"/>
      <c r="C502" s="244"/>
      <c r="D502" s="244"/>
      <c r="E502" s="244"/>
      <c r="F502" s="244"/>
      <c r="G502" s="244"/>
      <c r="H502" s="244"/>
      <c r="I502" s="244"/>
      <c r="J502" s="244"/>
      <c r="K502" s="244"/>
      <c r="L502" s="244"/>
      <c r="M502" s="244"/>
      <c r="N502" s="244"/>
      <c r="O502" s="244"/>
      <c r="P502" s="244"/>
    </row>
    <row r="503" spans="2:16" x14ac:dyDescent="0.2">
      <c r="B503" s="244"/>
      <c r="C503" s="244"/>
      <c r="D503" s="244"/>
      <c r="E503" s="244"/>
      <c r="F503" s="244"/>
      <c r="G503" s="244"/>
      <c r="H503" s="244"/>
      <c r="I503" s="244"/>
      <c r="J503" s="244"/>
      <c r="K503" s="244"/>
      <c r="L503" s="244"/>
      <c r="M503" s="244"/>
      <c r="N503" s="244"/>
      <c r="O503" s="244"/>
      <c r="P503" s="244"/>
    </row>
    <row r="504" spans="2:16" x14ac:dyDescent="0.2">
      <c r="B504" s="244"/>
      <c r="C504" s="244"/>
      <c r="D504" s="244"/>
      <c r="E504" s="244"/>
      <c r="F504" s="244"/>
      <c r="G504" s="244"/>
      <c r="H504" s="244"/>
      <c r="I504" s="244"/>
      <c r="J504" s="244"/>
      <c r="K504" s="244"/>
      <c r="L504" s="244"/>
      <c r="M504" s="244"/>
      <c r="N504" s="244"/>
      <c r="O504" s="244"/>
      <c r="P504" s="244"/>
    </row>
    <row r="505" spans="2:16" x14ac:dyDescent="0.2">
      <c r="B505" s="244"/>
      <c r="C505" s="244"/>
      <c r="D505" s="244"/>
      <c r="E505" s="244"/>
      <c r="F505" s="244"/>
      <c r="G505" s="244"/>
      <c r="H505" s="244"/>
      <c r="I505" s="244"/>
      <c r="J505" s="244"/>
      <c r="K505" s="244"/>
      <c r="L505" s="244"/>
      <c r="M505" s="244"/>
      <c r="N505" s="244"/>
      <c r="O505" s="244"/>
      <c r="P505" s="244"/>
    </row>
    <row r="506" spans="2:16" x14ac:dyDescent="0.2">
      <c r="B506" s="244"/>
      <c r="C506" s="244"/>
      <c r="D506" s="244"/>
      <c r="E506" s="244"/>
      <c r="F506" s="244"/>
      <c r="G506" s="244"/>
      <c r="H506" s="244"/>
      <c r="I506" s="244"/>
      <c r="J506" s="244"/>
      <c r="K506" s="244"/>
      <c r="L506" s="244"/>
      <c r="M506" s="244"/>
      <c r="N506" s="244"/>
      <c r="O506" s="244"/>
      <c r="P506" s="244"/>
    </row>
    <row r="507" spans="2:16" x14ac:dyDescent="0.2">
      <c r="B507" s="244"/>
      <c r="C507" s="244"/>
      <c r="D507" s="244"/>
      <c r="E507" s="244"/>
      <c r="F507" s="244"/>
      <c r="G507" s="244"/>
      <c r="H507" s="244"/>
      <c r="I507" s="244"/>
      <c r="J507" s="244"/>
      <c r="K507" s="244"/>
      <c r="L507" s="244"/>
      <c r="M507" s="244"/>
      <c r="N507" s="244"/>
      <c r="O507" s="244"/>
      <c r="P507" s="244"/>
    </row>
    <row r="508" spans="2:16" x14ac:dyDescent="0.2">
      <c r="B508" s="244"/>
      <c r="C508" s="244"/>
      <c r="D508" s="244"/>
      <c r="E508" s="244"/>
      <c r="F508" s="244"/>
      <c r="G508" s="244"/>
      <c r="H508" s="244"/>
      <c r="I508" s="244"/>
      <c r="J508" s="244"/>
      <c r="K508" s="244"/>
      <c r="L508" s="244"/>
      <c r="M508" s="244"/>
      <c r="N508" s="244"/>
      <c r="O508" s="244"/>
      <c r="P508" s="244"/>
    </row>
    <row r="509" spans="2:16" x14ac:dyDescent="0.2">
      <c r="B509" s="244"/>
      <c r="C509" s="244"/>
      <c r="D509" s="244"/>
      <c r="E509" s="244"/>
      <c r="F509" s="244"/>
      <c r="G509" s="244"/>
      <c r="H509" s="244"/>
      <c r="I509" s="244"/>
      <c r="J509" s="244"/>
      <c r="K509" s="244"/>
      <c r="L509" s="244"/>
      <c r="M509" s="244"/>
      <c r="N509" s="244"/>
      <c r="O509" s="244"/>
      <c r="P509" s="244"/>
    </row>
    <row r="510" spans="2:16" x14ac:dyDescent="0.2">
      <c r="B510" s="244"/>
      <c r="C510" s="244"/>
      <c r="D510" s="244"/>
      <c r="E510" s="244"/>
      <c r="F510" s="244"/>
      <c r="G510" s="244"/>
      <c r="H510" s="244"/>
      <c r="I510" s="244"/>
      <c r="J510" s="244"/>
      <c r="K510" s="244"/>
      <c r="L510" s="244"/>
      <c r="M510" s="244"/>
      <c r="N510" s="244"/>
      <c r="O510" s="244"/>
      <c r="P510" s="244"/>
    </row>
    <row r="511" spans="2:16" x14ac:dyDescent="0.2">
      <c r="B511" s="244"/>
      <c r="C511" s="244"/>
      <c r="D511" s="244"/>
      <c r="E511" s="244"/>
      <c r="F511" s="244"/>
      <c r="G511" s="244"/>
      <c r="H511" s="244"/>
      <c r="I511" s="244"/>
      <c r="J511" s="244"/>
      <c r="K511" s="244"/>
      <c r="L511" s="244"/>
      <c r="M511" s="244"/>
      <c r="N511" s="244"/>
      <c r="O511" s="244"/>
      <c r="P511" s="244"/>
    </row>
    <row r="512" spans="2:16" x14ac:dyDescent="0.2">
      <c r="B512" s="244"/>
      <c r="C512" s="244"/>
      <c r="D512" s="244"/>
      <c r="E512" s="244"/>
      <c r="F512" s="244"/>
      <c r="G512" s="244"/>
      <c r="H512" s="244"/>
      <c r="I512" s="244"/>
      <c r="J512" s="244"/>
      <c r="K512" s="244"/>
      <c r="L512" s="244"/>
      <c r="M512" s="244"/>
      <c r="N512" s="244"/>
      <c r="O512" s="244"/>
      <c r="P512" s="244"/>
    </row>
    <row r="513" spans="2:16" x14ac:dyDescent="0.2">
      <c r="B513" s="244"/>
      <c r="C513" s="244"/>
      <c r="D513" s="244"/>
      <c r="E513" s="244"/>
      <c r="F513" s="244"/>
      <c r="G513" s="244"/>
      <c r="H513" s="244"/>
      <c r="I513" s="244"/>
      <c r="J513" s="244"/>
      <c r="K513" s="244"/>
      <c r="L513" s="244"/>
      <c r="M513" s="244"/>
      <c r="N513" s="244"/>
      <c r="O513" s="244"/>
      <c r="P513" s="244"/>
    </row>
    <row r="514" spans="2:16" x14ac:dyDescent="0.2">
      <c r="B514" s="244"/>
      <c r="C514" s="244"/>
      <c r="D514" s="244"/>
      <c r="E514" s="244"/>
      <c r="F514" s="244"/>
      <c r="G514" s="244"/>
      <c r="H514" s="244"/>
      <c r="I514" s="244"/>
      <c r="J514" s="244"/>
      <c r="K514" s="244"/>
      <c r="L514" s="244"/>
      <c r="M514" s="244"/>
      <c r="N514" s="244"/>
      <c r="O514" s="244"/>
      <c r="P514" s="244"/>
    </row>
    <row r="515" spans="2:16" x14ac:dyDescent="0.2">
      <c r="B515" s="244"/>
      <c r="C515" s="244"/>
      <c r="D515" s="244"/>
      <c r="E515" s="244"/>
      <c r="F515" s="244"/>
      <c r="G515" s="244"/>
      <c r="H515" s="244"/>
      <c r="I515" s="244"/>
      <c r="J515" s="244"/>
      <c r="K515" s="244"/>
      <c r="L515" s="244"/>
      <c r="M515" s="244"/>
      <c r="N515" s="244"/>
      <c r="O515" s="244"/>
      <c r="P515" s="244"/>
    </row>
    <row r="516" spans="2:16" x14ac:dyDescent="0.2">
      <c r="B516" s="244"/>
      <c r="C516" s="244"/>
      <c r="D516" s="244"/>
      <c r="E516" s="244"/>
      <c r="F516" s="244"/>
      <c r="G516" s="244"/>
      <c r="H516" s="244"/>
      <c r="I516" s="244"/>
      <c r="J516" s="244"/>
      <c r="K516" s="244"/>
      <c r="L516" s="244"/>
      <c r="M516" s="244"/>
      <c r="N516" s="244"/>
      <c r="O516" s="244"/>
      <c r="P516" s="244"/>
    </row>
    <row r="517" spans="2:16" x14ac:dyDescent="0.2">
      <c r="B517" s="244"/>
      <c r="C517" s="244"/>
      <c r="D517" s="244"/>
      <c r="E517" s="244"/>
      <c r="F517" s="244"/>
      <c r="G517" s="244"/>
      <c r="H517" s="244"/>
      <c r="I517" s="244"/>
      <c r="J517" s="244"/>
      <c r="K517" s="244"/>
      <c r="L517" s="244"/>
      <c r="M517" s="244"/>
      <c r="N517" s="244"/>
      <c r="O517" s="244"/>
      <c r="P517" s="244"/>
    </row>
    <row r="518" spans="2:16" x14ac:dyDescent="0.2">
      <c r="B518" s="244"/>
      <c r="C518" s="244"/>
      <c r="D518" s="244"/>
      <c r="E518" s="244"/>
      <c r="F518" s="244"/>
      <c r="G518" s="244"/>
      <c r="H518" s="244"/>
      <c r="I518" s="244"/>
      <c r="J518" s="244"/>
      <c r="K518" s="244"/>
      <c r="L518" s="244"/>
      <c r="M518" s="244"/>
      <c r="N518" s="244"/>
      <c r="O518" s="244"/>
      <c r="P518" s="244"/>
    </row>
    <row r="519" spans="2:16" x14ac:dyDescent="0.2">
      <c r="B519" s="244"/>
      <c r="C519" s="244"/>
      <c r="D519" s="244"/>
      <c r="E519" s="244"/>
      <c r="F519" s="244"/>
      <c r="G519" s="244"/>
      <c r="H519" s="244"/>
      <c r="I519" s="244"/>
      <c r="J519" s="244"/>
      <c r="K519" s="244"/>
      <c r="L519" s="244"/>
      <c r="M519" s="244"/>
      <c r="N519" s="244"/>
      <c r="O519" s="244"/>
      <c r="P519" s="244"/>
    </row>
    <row r="520" spans="2:16" x14ac:dyDescent="0.2">
      <c r="B520" s="244"/>
      <c r="C520" s="244"/>
      <c r="D520" s="244"/>
      <c r="E520" s="244"/>
      <c r="F520" s="244"/>
      <c r="G520" s="244"/>
      <c r="H520" s="244"/>
      <c r="I520" s="244"/>
      <c r="J520" s="244"/>
      <c r="K520" s="244"/>
      <c r="L520" s="244"/>
      <c r="M520" s="244"/>
      <c r="N520" s="244"/>
      <c r="O520" s="244"/>
      <c r="P520" s="244"/>
    </row>
    <row r="521" spans="2:16" x14ac:dyDescent="0.2">
      <c r="B521" s="244"/>
      <c r="C521" s="244"/>
      <c r="D521" s="244"/>
      <c r="E521" s="244"/>
      <c r="F521" s="244"/>
      <c r="G521" s="244"/>
      <c r="H521" s="244"/>
      <c r="I521" s="244"/>
      <c r="J521" s="244"/>
      <c r="K521" s="244"/>
      <c r="L521" s="244"/>
      <c r="M521" s="244"/>
      <c r="N521" s="244"/>
      <c r="O521" s="244"/>
      <c r="P521" s="244"/>
    </row>
    <row r="522" spans="2:16" x14ac:dyDescent="0.2">
      <c r="B522" s="244"/>
      <c r="C522" s="244"/>
      <c r="D522" s="244"/>
      <c r="E522" s="244"/>
      <c r="F522" s="244"/>
      <c r="G522" s="244"/>
      <c r="H522" s="244"/>
      <c r="I522" s="244"/>
      <c r="J522" s="244"/>
      <c r="K522" s="244"/>
      <c r="L522" s="244"/>
      <c r="M522" s="244"/>
      <c r="N522" s="244"/>
      <c r="O522" s="244"/>
      <c r="P522" s="244"/>
    </row>
    <row r="523" spans="2:16" x14ac:dyDescent="0.2">
      <c r="B523" s="244"/>
      <c r="C523" s="244"/>
      <c r="D523" s="244"/>
      <c r="E523" s="244"/>
      <c r="F523" s="244"/>
      <c r="G523" s="244"/>
      <c r="H523" s="244"/>
      <c r="I523" s="244"/>
      <c r="J523" s="244"/>
      <c r="K523" s="244"/>
      <c r="L523" s="244"/>
      <c r="M523" s="244"/>
      <c r="N523" s="244"/>
      <c r="O523" s="244"/>
      <c r="P523" s="244"/>
    </row>
    <row r="524" spans="2:16" x14ac:dyDescent="0.2">
      <c r="B524" s="244"/>
      <c r="C524" s="244"/>
      <c r="D524" s="244"/>
      <c r="E524" s="244"/>
      <c r="F524" s="244"/>
      <c r="G524" s="244"/>
      <c r="H524" s="244"/>
      <c r="I524" s="244"/>
      <c r="J524" s="244"/>
      <c r="K524" s="244"/>
      <c r="L524" s="244"/>
      <c r="M524" s="244"/>
      <c r="N524" s="244"/>
      <c r="O524" s="244"/>
      <c r="P524" s="244"/>
    </row>
    <row r="525" spans="2:16" x14ac:dyDescent="0.2">
      <c r="B525" s="244"/>
      <c r="C525" s="244"/>
      <c r="D525" s="244"/>
      <c r="E525" s="244"/>
      <c r="F525" s="244"/>
      <c r="G525" s="244"/>
      <c r="H525" s="244"/>
      <c r="I525" s="244"/>
      <c r="J525" s="244"/>
      <c r="K525" s="244"/>
      <c r="L525" s="244"/>
      <c r="M525" s="244"/>
      <c r="N525" s="244"/>
      <c r="O525" s="244"/>
      <c r="P525" s="244"/>
    </row>
    <row r="526" spans="2:16" x14ac:dyDescent="0.2">
      <c r="B526" s="244"/>
      <c r="C526" s="244"/>
      <c r="D526" s="244"/>
      <c r="E526" s="244"/>
      <c r="F526" s="244"/>
      <c r="G526" s="244"/>
      <c r="H526" s="244"/>
      <c r="I526" s="244"/>
      <c r="J526" s="244"/>
      <c r="K526" s="244"/>
      <c r="L526" s="244"/>
      <c r="M526" s="244"/>
      <c r="N526" s="244"/>
      <c r="O526" s="244"/>
      <c r="P526" s="244"/>
    </row>
    <row r="527" spans="2:16" x14ac:dyDescent="0.2">
      <c r="B527" s="244"/>
      <c r="C527" s="244"/>
      <c r="D527" s="244"/>
      <c r="E527" s="244"/>
      <c r="F527" s="244"/>
      <c r="G527" s="244"/>
      <c r="H527" s="244"/>
      <c r="I527" s="244"/>
      <c r="J527" s="244"/>
      <c r="K527" s="244"/>
      <c r="L527" s="244"/>
      <c r="M527" s="244"/>
      <c r="N527" s="244"/>
      <c r="O527" s="244"/>
      <c r="P527" s="244"/>
    </row>
    <row r="528" spans="2:16" x14ac:dyDescent="0.2">
      <c r="B528" s="244"/>
      <c r="C528" s="244"/>
      <c r="D528" s="244"/>
      <c r="E528" s="244"/>
      <c r="F528" s="244"/>
      <c r="G528" s="244"/>
      <c r="H528" s="244"/>
      <c r="I528" s="244"/>
      <c r="J528" s="244"/>
      <c r="K528" s="244"/>
      <c r="L528" s="244"/>
      <c r="M528" s="244"/>
      <c r="N528" s="244"/>
      <c r="O528" s="244"/>
      <c r="P528" s="244"/>
    </row>
    <row r="529" spans="2:16" x14ac:dyDescent="0.2">
      <c r="B529" s="244"/>
      <c r="C529" s="244"/>
      <c r="D529" s="244"/>
      <c r="E529" s="244"/>
      <c r="F529" s="244"/>
      <c r="G529" s="244"/>
      <c r="H529" s="244"/>
      <c r="I529" s="244"/>
      <c r="J529" s="244"/>
      <c r="K529" s="244"/>
      <c r="L529" s="244"/>
      <c r="M529" s="244"/>
      <c r="N529" s="244"/>
      <c r="O529" s="244"/>
      <c r="P529" s="244"/>
    </row>
    <row r="530" spans="2:16" x14ac:dyDescent="0.2">
      <c r="B530" s="244"/>
      <c r="C530" s="244"/>
      <c r="D530" s="244"/>
      <c r="E530" s="244"/>
      <c r="F530" s="244"/>
      <c r="G530" s="244"/>
      <c r="H530" s="244"/>
      <c r="I530" s="244"/>
      <c r="J530" s="244"/>
      <c r="K530" s="244"/>
      <c r="L530" s="244"/>
      <c r="M530" s="244"/>
      <c r="N530" s="244"/>
      <c r="O530" s="244"/>
      <c r="P530" s="244"/>
    </row>
  </sheetData>
  <autoFilter ref="A19:S138">
    <filterColumn colId="2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9">
    <mergeCell ref="I4:N4"/>
    <mergeCell ref="I6:N6"/>
    <mergeCell ref="I7:N7"/>
    <mergeCell ref="I8:N8"/>
    <mergeCell ref="B11:R11"/>
    <mergeCell ref="Q17:Q18"/>
    <mergeCell ref="C19:D19"/>
    <mergeCell ref="F19:N19"/>
    <mergeCell ref="R17:R18"/>
    <mergeCell ref="O7:W7"/>
    <mergeCell ref="O8:W8"/>
    <mergeCell ref="I9:N9"/>
    <mergeCell ref="O16:R16"/>
    <mergeCell ref="A449:R451"/>
    <mergeCell ref="O1:W1"/>
    <mergeCell ref="O3:R3"/>
    <mergeCell ref="O4:W4"/>
    <mergeCell ref="N5:S5"/>
    <mergeCell ref="O6:W6"/>
    <mergeCell ref="A12:R12"/>
    <mergeCell ref="B21:D21"/>
    <mergeCell ref="B402:D402"/>
    <mergeCell ref="A14:N14"/>
    <mergeCell ref="A17:A18"/>
    <mergeCell ref="B17:B18"/>
    <mergeCell ref="C17:D17"/>
    <mergeCell ref="F17:N18"/>
    <mergeCell ref="A13:R13"/>
    <mergeCell ref="O17:O18"/>
  </mergeCells>
  <pageMargins left="0.78740157480314965" right="0.78740157480314965" top="1.1811023622047245" bottom="0.39370078740157483" header="0.51181102362204722" footer="0.19685039370078741"/>
  <pageSetup paperSize="9" firstPageNumber="4294967295" orientation="landscape" r:id="rId1"/>
  <headerFooter differentFirst="1" alignWithMargins="0">
    <oddFooter>&amp;C&amp;P</oddFooter>
  </headerFooter>
  <rowBreaks count="1" manualBreakCount="1">
    <brk id="114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8"/>
  <sheetViews>
    <sheetView view="pageBreakPreview" topLeftCell="A109" zoomScale="70" zoomScaleNormal="70" zoomScaleSheetLayoutView="70" workbookViewId="0">
      <selection activeCell="F283" sqref="F283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8" width="18.28515625" customWidth="1"/>
    <col min="9" max="13" width="18" customWidth="1"/>
    <col min="14" max="16" width="26.5703125" customWidth="1"/>
    <col min="17" max="17" width="18.8554687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80"/>
      <c r="P1" s="80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80"/>
      <c r="P2" s="80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80"/>
      <c r="P3" s="80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80"/>
      <c r="P4" s="80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454</v>
      </c>
      <c r="J5" s="440"/>
      <c r="K5" s="440"/>
      <c r="L5" s="440"/>
      <c r="M5" s="440"/>
      <c r="N5" s="440"/>
      <c r="O5" s="80"/>
      <c r="P5" s="80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80"/>
      <c r="P6" s="80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84"/>
      <c r="P8" s="84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84"/>
      <c r="P9" s="84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85"/>
      <c r="P10" s="85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10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0" t="s">
        <v>15</v>
      </c>
      <c r="J14" s="110" t="s">
        <v>13</v>
      </c>
      <c r="K14" s="110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81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x14ac:dyDescent="0.2">
      <c r="A16" s="37"/>
      <c r="B16" s="38" t="s">
        <v>20</v>
      </c>
      <c r="C16" s="38"/>
      <c r="D16" s="39"/>
      <c r="E16" s="103"/>
      <c r="F16" s="40">
        <f t="shared" ref="F16:N16" si="0">F17+F333</f>
        <v>612273.19999999995</v>
      </c>
      <c r="G16" s="40">
        <f t="shared" si="0"/>
        <v>16669.5</v>
      </c>
      <c r="H16" s="40">
        <f t="shared" si="0"/>
        <v>628942.69999999995</v>
      </c>
      <c r="I16" s="41">
        <f t="shared" si="0"/>
        <v>2447246.8000000003</v>
      </c>
      <c r="J16" s="40">
        <f t="shared" si="0"/>
        <v>54194.9</v>
      </c>
      <c r="K16" s="41">
        <f t="shared" si="0"/>
        <v>2501441.7000000007</v>
      </c>
      <c r="L16" s="41">
        <f t="shared" si="0"/>
        <v>3059520.0000000005</v>
      </c>
      <c r="M16" s="40">
        <f t="shared" si="0"/>
        <v>70864.399999999994</v>
      </c>
      <c r="N16" s="41">
        <f t="shared" si="0"/>
        <v>3130384.3999999994</v>
      </c>
      <c r="O16" s="130"/>
      <c r="P16" s="92"/>
    </row>
    <row r="17" spans="1:17" ht="32.450000000000003" customHeight="1" x14ac:dyDescent="0.2">
      <c r="A17" s="16" t="s">
        <v>21</v>
      </c>
      <c r="B17" s="459" t="s">
        <v>22</v>
      </c>
      <c r="C17" s="460"/>
      <c r="D17" s="460"/>
      <c r="E17" s="82"/>
      <c r="F17" s="17">
        <f t="shared" ref="F17:N17" si="1">F18+F33+F38+F73+F85+F121+F175+F204+F213+F259+F276+F291+F323+F327</f>
        <v>574357.39999999991</v>
      </c>
      <c r="G17" s="17">
        <f t="shared" si="1"/>
        <v>13927.2</v>
      </c>
      <c r="H17" s="17">
        <f t="shared" si="1"/>
        <v>588284.6</v>
      </c>
      <c r="I17" s="18">
        <f t="shared" si="1"/>
        <v>2446478.7000000002</v>
      </c>
      <c r="J17" s="17">
        <f t="shared" si="1"/>
        <v>54194.9</v>
      </c>
      <c r="K17" s="18">
        <f t="shared" si="1"/>
        <v>2500673.6000000006</v>
      </c>
      <c r="L17" s="17">
        <f t="shared" si="1"/>
        <v>3020836.1000000006</v>
      </c>
      <c r="M17" s="17">
        <f t="shared" si="1"/>
        <v>68122.099999999991</v>
      </c>
      <c r="N17" s="17">
        <f t="shared" si="1"/>
        <v>3088958.1999999993</v>
      </c>
      <c r="O17" s="93"/>
      <c r="P17" s="93"/>
    </row>
    <row r="18" spans="1:17" ht="22.15" customHeight="1" x14ac:dyDescent="0.2">
      <c r="A18" s="19" t="s">
        <v>23</v>
      </c>
      <c r="B18" s="20" t="s">
        <v>24</v>
      </c>
      <c r="C18" s="21" t="s">
        <v>25</v>
      </c>
      <c r="D18" s="22" t="s">
        <v>26</v>
      </c>
      <c r="E18" s="104"/>
      <c r="F18" s="23">
        <f t="shared" ref="F18:N18" si="2">F19+F24</f>
        <v>13832.1</v>
      </c>
      <c r="G18" s="23">
        <f t="shared" si="2"/>
        <v>0</v>
      </c>
      <c r="H18" s="23">
        <f t="shared" si="2"/>
        <v>13832.1</v>
      </c>
      <c r="I18" s="24">
        <f t="shared" si="2"/>
        <v>156</v>
      </c>
      <c r="J18" s="23">
        <f>J19+J24</f>
        <v>0</v>
      </c>
      <c r="K18" s="24">
        <f t="shared" si="2"/>
        <v>156</v>
      </c>
      <c r="L18" s="23">
        <f t="shared" si="2"/>
        <v>13988.1</v>
      </c>
      <c r="M18" s="23">
        <f t="shared" si="2"/>
        <v>0</v>
      </c>
      <c r="N18" s="23">
        <f t="shared" si="2"/>
        <v>13988.1</v>
      </c>
      <c r="O18" s="93"/>
      <c r="P18" s="93"/>
      <c r="Q18" s="25"/>
    </row>
    <row r="19" spans="1:17" ht="47.25" x14ac:dyDescent="0.2">
      <c r="A19" s="42"/>
      <c r="B19" s="43" t="s">
        <v>27</v>
      </c>
      <c r="C19" s="44" t="s">
        <v>28</v>
      </c>
      <c r="D19" s="45" t="s">
        <v>26</v>
      </c>
      <c r="E19" s="105"/>
      <c r="F19" s="46">
        <f>F20+F22</f>
        <v>2346.5</v>
      </c>
      <c r="G19" s="46">
        <f>G20+G22</f>
        <v>0</v>
      </c>
      <c r="H19" s="46">
        <f>H20+H22</f>
        <v>2346.5</v>
      </c>
      <c r="I19" s="47">
        <f>I20+I22</f>
        <v>0</v>
      </c>
      <c r="J19" s="88"/>
      <c r="K19" s="47">
        <f>K20+K22</f>
        <v>0</v>
      </c>
      <c r="L19" s="46">
        <f>L20+L22</f>
        <v>2346.5</v>
      </c>
      <c r="M19" s="46">
        <f>M20+M22</f>
        <v>0</v>
      </c>
      <c r="N19" s="46">
        <f>N20+N22</f>
        <v>2346.5</v>
      </c>
      <c r="O19" s="94"/>
      <c r="P19" s="94"/>
      <c r="Q19" s="48"/>
    </row>
    <row r="20" spans="1:17" ht="47.25" x14ac:dyDescent="0.2">
      <c r="A20" s="42"/>
      <c r="B20" s="43" t="s">
        <v>29</v>
      </c>
      <c r="C20" s="44" t="s">
        <v>30</v>
      </c>
      <c r="D20" s="45" t="s">
        <v>26</v>
      </c>
      <c r="E20" s="105"/>
      <c r="F20" s="46">
        <f>F21</f>
        <v>1500</v>
      </c>
      <c r="G20" s="46">
        <f>G21</f>
        <v>0</v>
      </c>
      <c r="H20" s="46">
        <f>H21</f>
        <v>1500</v>
      </c>
      <c r="I20" s="47">
        <f>I21</f>
        <v>0</v>
      </c>
      <c r="J20" s="88"/>
      <c r="K20" s="47">
        <f>K21</f>
        <v>0</v>
      </c>
      <c r="L20" s="46">
        <f>L21</f>
        <v>1500</v>
      </c>
      <c r="M20" s="46">
        <f>M21</f>
        <v>0</v>
      </c>
      <c r="N20" s="46">
        <f>N21</f>
        <v>1500</v>
      </c>
      <c r="O20" s="94"/>
      <c r="P20" s="94"/>
    </row>
    <row r="21" spans="1:17" ht="67.900000000000006" customHeight="1" x14ac:dyDescent="0.2">
      <c r="A21" s="42"/>
      <c r="B21" s="43" t="s">
        <v>31</v>
      </c>
      <c r="C21" s="44" t="s">
        <v>30</v>
      </c>
      <c r="D21" s="45" t="s">
        <v>32</v>
      </c>
      <c r="E21" s="105"/>
      <c r="F21" s="46">
        <v>1500</v>
      </c>
      <c r="G21" s="46"/>
      <c r="H21" s="46">
        <v>1500</v>
      </c>
      <c r="I21" s="47">
        <v>0</v>
      </c>
      <c r="J21" s="88"/>
      <c r="K21" s="47">
        <v>0</v>
      </c>
      <c r="L21" s="46">
        <v>1500</v>
      </c>
      <c r="M21" s="46"/>
      <c r="N21" s="46">
        <v>1500</v>
      </c>
      <c r="O21" s="94"/>
      <c r="P21" s="94"/>
    </row>
    <row r="22" spans="1:17" ht="36" customHeight="1" x14ac:dyDescent="0.2">
      <c r="A22" s="42"/>
      <c r="B22" s="43" t="s">
        <v>33</v>
      </c>
      <c r="C22" s="44" t="s">
        <v>34</v>
      </c>
      <c r="D22" s="45" t="s">
        <v>26</v>
      </c>
      <c r="E22" s="105"/>
      <c r="F22" s="46">
        <f>F23</f>
        <v>846.5</v>
      </c>
      <c r="G22" s="46">
        <f>G23</f>
        <v>0</v>
      </c>
      <c r="H22" s="46">
        <f>H23</f>
        <v>846.5</v>
      </c>
      <c r="I22" s="47">
        <f>I23</f>
        <v>0</v>
      </c>
      <c r="J22" s="88"/>
      <c r="K22" s="47">
        <f>K23</f>
        <v>0</v>
      </c>
      <c r="L22" s="46">
        <f>L23</f>
        <v>846.5</v>
      </c>
      <c r="M22" s="46">
        <f>M23</f>
        <v>0</v>
      </c>
      <c r="N22" s="46">
        <f>N23</f>
        <v>846.5</v>
      </c>
      <c r="O22" s="94"/>
      <c r="P22" s="94"/>
    </row>
    <row r="23" spans="1:17" ht="31.5" x14ac:dyDescent="0.2">
      <c r="A23" s="42"/>
      <c r="B23" s="43" t="s">
        <v>35</v>
      </c>
      <c r="C23" s="44" t="s">
        <v>34</v>
      </c>
      <c r="D23" s="45" t="s">
        <v>36</v>
      </c>
      <c r="E23" s="105"/>
      <c r="F23" s="46">
        <v>846.5</v>
      </c>
      <c r="G23" s="46"/>
      <c r="H23" s="46">
        <v>846.5</v>
      </c>
      <c r="I23" s="47">
        <v>0</v>
      </c>
      <c r="J23" s="88"/>
      <c r="K23" s="47">
        <v>0</v>
      </c>
      <c r="L23" s="46">
        <v>846.5</v>
      </c>
      <c r="M23" s="46"/>
      <c r="N23" s="46">
        <v>846.5</v>
      </c>
      <c r="O23" s="94"/>
      <c r="P23" s="94"/>
    </row>
    <row r="24" spans="1:17" ht="47.25" x14ac:dyDescent="0.2">
      <c r="A24" s="42"/>
      <c r="B24" s="43" t="s">
        <v>37</v>
      </c>
      <c r="C24" s="44" t="s">
        <v>38</v>
      </c>
      <c r="D24" s="45" t="s">
        <v>26</v>
      </c>
      <c r="E24" s="105"/>
      <c r="F24" s="46">
        <f>F25+F29</f>
        <v>11485.6</v>
      </c>
      <c r="G24" s="46">
        <f>G25+G29</f>
        <v>0</v>
      </c>
      <c r="H24" s="46">
        <f>H25+H29</f>
        <v>11485.6</v>
      </c>
      <c r="I24" s="47">
        <f>I25+I29+I31</f>
        <v>156</v>
      </c>
      <c r="J24" s="88">
        <f>SUM(J31)</f>
        <v>0</v>
      </c>
      <c r="K24" s="47">
        <f>K25+K29+K31</f>
        <v>156</v>
      </c>
      <c r="L24" s="46">
        <f>L25+L29+L32</f>
        <v>11641.6</v>
      </c>
      <c r="M24" s="46">
        <f>M25+M29+J24</f>
        <v>0</v>
      </c>
      <c r="N24" s="46">
        <f>N25+N29+N32</f>
        <v>11641.6</v>
      </c>
      <c r="O24" s="94"/>
      <c r="P24" s="94"/>
    </row>
    <row r="25" spans="1:17" ht="31.5" x14ac:dyDescent="0.2">
      <c r="A25" s="42"/>
      <c r="B25" s="43" t="s">
        <v>39</v>
      </c>
      <c r="C25" s="44" t="s">
        <v>40</v>
      </c>
      <c r="D25" s="45" t="s">
        <v>26</v>
      </c>
      <c r="E25" s="105"/>
      <c r="F25" s="46">
        <f>F26+F27+F28</f>
        <v>10600.5</v>
      </c>
      <c r="G25" s="46">
        <f>G26+G27+G28</f>
        <v>0</v>
      </c>
      <c r="H25" s="46">
        <f>H26+H27+H28</f>
        <v>10600.5</v>
      </c>
      <c r="I25" s="47">
        <f>I26+I27+I28</f>
        <v>0</v>
      </c>
      <c r="J25" s="88">
        <f>SUM(I26)+J27</f>
        <v>0</v>
      </c>
      <c r="K25" s="47">
        <f>K26+K27+K28</f>
        <v>0</v>
      </c>
      <c r="L25" s="46">
        <f>L26+L27+L28</f>
        <v>10600.5</v>
      </c>
      <c r="M25" s="46">
        <f>M26+M27+M28</f>
        <v>0</v>
      </c>
      <c r="N25" s="46">
        <f>N26+N27+N28</f>
        <v>10600.5</v>
      </c>
      <c r="O25" s="94"/>
      <c r="P25" s="94"/>
    </row>
    <row r="26" spans="1:17" ht="67.900000000000006" customHeight="1" x14ac:dyDescent="0.2">
      <c r="A26" s="42"/>
      <c r="B26" s="43" t="s">
        <v>31</v>
      </c>
      <c r="C26" s="44" t="s">
        <v>40</v>
      </c>
      <c r="D26" s="45" t="s">
        <v>32</v>
      </c>
      <c r="E26" s="105"/>
      <c r="F26" s="46">
        <v>8018.2</v>
      </c>
      <c r="G26" s="46"/>
      <c r="H26" s="46">
        <f>SUM(F26)</f>
        <v>8018.2</v>
      </c>
      <c r="I26" s="47">
        <v>0</v>
      </c>
      <c r="J26" s="88"/>
      <c r="K26" s="47">
        <v>0</v>
      </c>
      <c r="L26" s="46">
        <f>SUM(F26)</f>
        <v>8018.2</v>
      </c>
      <c r="M26" s="46">
        <f>SUM(G26)</f>
        <v>0</v>
      </c>
      <c r="N26" s="46">
        <f>SUM(H26)</f>
        <v>8018.2</v>
      </c>
      <c r="O26" s="94"/>
      <c r="P26" s="94"/>
    </row>
    <row r="27" spans="1:17" ht="31.5" x14ac:dyDescent="0.2">
      <c r="A27" s="42"/>
      <c r="B27" s="43" t="s">
        <v>35</v>
      </c>
      <c r="C27" s="44" t="s">
        <v>40</v>
      </c>
      <c r="D27" s="45" t="s">
        <v>36</v>
      </c>
      <c r="E27" s="105"/>
      <c r="F27" s="46">
        <v>2578.6</v>
      </c>
      <c r="G27" s="46"/>
      <c r="H27" s="46">
        <f>SUM(F27)</f>
        <v>2578.6</v>
      </c>
      <c r="I27" s="47">
        <v>0</v>
      </c>
      <c r="J27" s="88"/>
      <c r="K27" s="47">
        <f>SUM(J27)</f>
        <v>0</v>
      </c>
      <c r="L27" s="46">
        <f>SUM(F27)</f>
        <v>2578.6</v>
      </c>
      <c r="M27" s="46">
        <f>SUM(G27+J27)</f>
        <v>0</v>
      </c>
      <c r="N27" s="46">
        <f>SUM(H27)</f>
        <v>2578.6</v>
      </c>
      <c r="O27" s="94"/>
      <c r="P27" s="94"/>
    </row>
    <row r="28" spans="1:17" ht="15.75" x14ac:dyDescent="0.2">
      <c r="A28" s="42"/>
      <c r="B28" s="43" t="s">
        <v>41</v>
      </c>
      <c r="C28" s="44" t="s">
        <v>40</v>
      </c>
      <c r="D28" s="45" t="s">
        <v>42</v>
      </c>
      <c r="E28" s="105"/>
      <c r="F28" s="46">
        <v>3.7</v>
      </c>
      <c r="G28" s="46"/>
      <c r="H28" s="46">
        <v>3.7</v>
      </c>
      <c r="I28" s="47">
        <v>0</v>
      </c>
      <c r="J28" s="88"/>
      <c r="K28" s="47">
        <v>0</v>
      </c>
      <c r="L28" s="46">
        <v>3.7</v>
      </c>
      <c r="M28" s="46"/>
      <c r="N28" s="46">
        <v>3.7</v>
      </c>
      <c r="O28" s="94"/>
      <c r="P28" s="94"/>
    </row>
    <row r="29" spans="1:17" ht="31.5" x14ac:dyDescent="0.2">
      <c r="A29" s="42"/>
      <c r="B29" s="43" t="s">
        <v>43</v>
      </c>
      <c r="C29" s="44" t="s">
        <v>44</v>
      </c>
      <c r="D29" s="45" t="s">
        <v>26</v>
      </c>
      <c r="E29" s="105"/>
      <c r="F29" s="46">
        <f>F30</f>
        <v>885.1</v>
      </c>
      <c r="G29" s="46">
        <f>G30</f>
        <v>0</v>
      </c>
      <c r="H29" s="46">
        <f>H30</f>
        <v>885.1</v>
      </c>
      <c r="I29" s="47">
        <f>I30</f>
        <v>0</v>
      </c>
      <c r="J29" s="88"/>
      <c r="K29" s="47">
        <f>K30</f>
        <v>0</v>
      </c>
      <c r="L29" s="46">
        <f>L30</f>
        <v>885.1</v>
      </c>
      <c r="M29" s="46">
        <f>M30</f>
        <v>0</v>
      </c>
      <c r="N29" s="46">
        <f>N30</f>
        <v>885.1</v>
      </c>
      <c r="O29" s="94"/>
      <c r="P29" s="94"/>
    </row>
    <row r="30" spans="1:17" ht="31.5" x14ac:dyDescent="0.2">
      <c r="A30" s="42"/>
      <c r="B30" s="43" t="s">
        <v>35</v>
      </c>
      <c r="C30" s="44" t="s">
        <v>44</v>
      </c>
      <c r="D30" s="45" t="s">
        <v>36</v>
      </c>
      <c r="E30" s="105"/>
      <c r="F30" s="46">
        <v>885.1</v>
      </c>
      <c r="G30" s="46"/>
      <c r="H30" s="46">
        <f>SUM(F30)</f>
        <v>885.1</v>
      </c>
      <c r="I30" s="47">
        <v>0</v>
      </c>
      <c r="J30" s="88"/>
      <c r="K30" s="47">
        <v>0</v>
      </c>
      <c r="L30" s="46">
        <f>SUM(F30)</f>
        <v>885.1</v>
      </c>
      <c r="M30" s="46">
        <f>SUM(G30)</f>
        <v>0</v>
      </c>
      <c r="N30" s="46">
        <f>SUM(H30)</f>
        <v>885.1</v>
      </c>
      <c r="O30" s="94"/>
      <c r="P30" s="94"/>
    </row>
    <row r="31" spans="1:17" ht="63" x14ac:dyDescent="0.2">
      <c r="A31" s="42"/>
      <c r="B31" s="129" t="s">
        <v>45</v>
      </c>
      <c r="C31" s="44" t="s">
        <v>46</v>
      </c>
      <c r="D31" s="45"/>
      <c r="E31" s="105"/>
      <c r="F31" s="46"/>
      <c r="G31" s="46"/>
      <c r="H31" s="46"/>
      <c r="I31" s="47">
        <f>SUM(I32)</f>
        <v>156</v>
      </c>
      <c r="J31" s="88">
        <f>SUM(J32)</f>
        <v>0</v>
      </c>
      <c r="K31" s="47">
        <f>SUM(I31)</f>
        <v>156</v>
      </c>
      <c r="L31" s="46">
        <f>SUM(I31)</f>
        <v>156</v>
      </c>
      <c r="M31" s="46"/>
      <c r="N31" s="46">
        <f>SUM(K31)</f>
        <v>156</v>
      </c>
      <c r="O31" s="94"/>
      <c r="P31" s="94"/>
    </row>
    <row r="32" spans="1:17" ht="31.5" x14ac:dyDescent="0.2">
      <c r="A32" s="42"/>
      <c r="B32" s="43" t="s">
        <v>35</v>
      </c>
      <c r="C32" s="44" t="s">
        <v>46</v>
      </c>
      <c r="D32" s="45" t="s">
        <v>36</v>
      </c>
      <c r="E32" s="105"/>
      <c r="F32" s="46"/>
      <c r="G32" s="46"/>
      <c r="H32" s="46"/>
      <c r="I32" s="47">
        <v>156</v>
      </c>
      <c r="J32" s="88"/>
      <c r="K32" s="47">
        <f>SUM(I32)</f>
        <v>156</v>
      </c>
      <c r="L32" s="46">
        <f>SUM(I32)</f>
        <v>156</v>
      </c>
      <c r="M32" s="46">
        <f>SUM(J32)</f>
        <v>0</v>
      </c>
      <c r="N32" s="46">
        <f>SUM(K32)</f>
        <v>156</v>
      </c>
      <c r="O32" s="94"/>
      <c r="P32" s="94"/>
    </row>
    <row r="33" spans="1:17" ht="31.5" x14ac:dyDescent="0.2">
      <c r="A33" s="19" t="s">
        <v>47</v>
      </c>
      <c r="B33" s="20" t="s">
        <v>48</v>
      </c>
      <c r="C33" s="21" t="s">
        <v>49</v>
      </c>
      <c r="D33" s="22" t="s">
        <v>26</v>
      </c>
      <c r="E33" s="104"/>
      <c r="F33" s="23">
        <f t="shared" ref="F33:N34" si="3">F34</f>
        <v>1813.8</v>
      </c>
      <c r="G33" s="23">
        <f t="shared" si="3"/>
        <v>0</v>
      </c>
      <c r="H33" s="23">
        <f t="shared" si="3"/>
        <v>1813.8</v>
      </c>
      <c r="I33" s="24">
        <f t="shared" si="3"/>
        <v>0</v>
      </c>
      <c r="J33" s="23">
        <f t="shared" si="3"/>
        <v>0</v>
      </c>
      <c r="K33" s="24">
        <f t="shared" si="3"/>
        <v>0</v>
      </c>
      <c r="L33" s="23">
        <f t="shared" si="3"/>
        <v>1813.8</v>
      </c>
      <c r="M33" s="23">
        <f t="shared" si="3"/>
        <v>0</v>
      </c>
      <c r="N33" s="23">
        <f t="shared" si="3"/>
        <v>1813.8</v>
      </c>
      <c r="O33" s="93"/>
      <c r="P33" s="93"/>
    </row>
    <row r="34" spans="1:17" ht="50.45" customHeight="1" x14ac:dyDescent="0.2">
      <c r="A34" s="42"/>
      <c r="B34" s="43" t="s">
        <v>50</v>
      </c>
      <c r="C34" s="44" t="s">
        <v>51</v>
      </c>
      <c r="D34" s="45" t="s">
        <v>26</v>
      </c>
      <c r="E34" s="105"/>
      <c r="F34" s="46">
        <f t="shared" si="3"/>
        <v>1813.8</v>
      </c>
      <c r="G34" s="46">
        <f t="shared" si="3"/>
        <v>0</v>
      </c>
      <c r="H34" s="46">
        <f t="shared" si="3"/>
        <v>1813.8</v>
      </c>
      <c r="I34" s="47">
        <f t="shared" si="3"/>
        <v>0</v>
      </c>
      <c r="J34" s="88"/>
      <c r="K34" s="47">
        <f t="shared" si="3"/>
        <v>0</v>
      </c>
      <c r="L34" s="46">
        <f t="shared" si="3"/>
        <v>1813.8</v>
      </c>
      <c r="M34" s="46">
        <f t="shared" si="3"/>
        <v>0</v>
      </c>
      <c r="N34" s="46">
        <f t="shared" si="3"/>
        <v>1813.8</v>
      </c>
      <c r="O34" s="94"/>
      <c r="P34" s="94"/>
    </row>
    <row r="35" spans="1:17" ht="36.6" customHeight="1" x14ac:dyDescent="0.2">
      <c r="A35" s="42"/>
      <c r="B35" s="43" t="s">
        <v>52</v>
      </c>
      <c r="C35" s="44" t="s">
        <v>53</v>
      </c>
      <c r="D35" s="45" t="s">
        <v>26</v>
      </c>
      <c r="E35" s="105"/>
      <c r="F35" s="46">
        <f>F36+F37</f>
        <v>1813.8</v>
      </c>
      <c r="G35" s="46">
        <f>G36+G37</f>
        <v>0</v>
      </c>
      <c r="H35" s="46">
        <f>H36+H37</f>
        <v>1813.8</v>
      </c>
      <c r="I35" s="47">
        <f>I36+I37</f>
        <v>0</v>
      </c>
      <c r="J35" s="88"/>
      <c r="K35" s="47">
        <f>K36+K37</f>
        <v>0</v>
      </c>
      <c r="L35" s="46">
        <f>L36+L37</f>
        <v>1813.8</v>
      </c>
      <c r="M35" s="46">
        <f>M36+M37</f>
        <v>0</v>
      </c>
      <c r="N35" s="46">
        <f>N36+N37</f>
        <v>1813.8</v>
      </c>
      <c r="O35" s="94"/>
      <c r="P35" s="94"/>
    </row>
    <row r="36" spans="1:17" ht="31.5" x14ac:dyDescent="0.2">
      <c r="A36" s="42"/>
      <c r="B36" s="43" t="s">
        <v>35</v>
      </c>
      <c r="C36" s="44" t="s">
        <v>53</v>
      </c>
      <c r="D36" s="45" t="s">
        <v>36</v>
      </c>
      <c r="E36" s="105"/>
      <c r="F36" s="46">
        <v>300</v>
      </c>
      <c r="G36" s="46"/>
      <c r="H36" s="46">
        <v>300</v>
      </c>
      <c r="I36" s="47"/>
      <c r="J36" s="88"/>
      <c r="K36" s="47"/>
      <c r="L36" s="46">
        <v>300</v>
      </c>
      <c r="M36" s="46"/>
      <c r="N36" s="46">
        <v>300</v>
      </c>
      <c r="O36" s="94"/>
      <c r="P36" s="94"/>
    </row>
    <row r="37" spans="1:17" ht="15.75" x14ac:dyDescent="0.2">
      <c r="A37" s="42"/>
      <c r="B37" s="43" t="s">
        <v>54</v>
      </c>
      <c r="C37" s="44" t="s">
        <v>53</v>
      </c>
      <c r="D37" s="45" t="s">
        <v>55</v>
      </c>
      <c r="E37" s="105"/>
      <c r="F37" s="46">
        <v>1513.8</v>
      </c>
      <c r="G37" s="46"/>
      <c r="H37" s="46">
        <v>1513.8</v>
      </c>
      <c r="I37" s="47"/>
      <c r="J37" s="88"/>
      <c r="K37" s="47"/>
      <c r="L37" s="46">
        <v>1513.8</v>
      </c>
      <c r="M37" s="46"/>
      <c r="N37" s="46">
        <v>1513.8</v>
      </c>
      <c r="O37" s="94"/>
      <c r="P37" s="94"/>
    </row>
    <row r="38" spans="1:17" ht="31.5" x14ac:dyDescent="0.2">
      <c r="A38" s="19" t="s">
        <v>56</v>
      </c>
      <c r="B38" s="20" t="s">
        <v>57</v>
      </c>
      <c r="C38" s="21" t="s">
        <v>58</v>
      </c>
      <c r="D38" s="22" t="s">
        <v>26</v>
      </c>
      <c r="E38" s="104"/>
      <c r="F38" s="23">
        <f t="shared" ref="F38:N38" si="4">F39+F47+F68</f>
        <v>138173.89999999997</v>
      </c>
      <c r="G38" s="23">
        <f>G39+G47+G68+G54</f>
        <v>-674</v>
      </c>
      <c r="H38" s="23">
        <f t="shared" si="4"/>
        <v>137499.89999999997</v>
      </c>
      <c r="I38" s="24">
        <f t="shared" si="4"/>
        <v>8708.7000000000007</v>
      </c>
      <c r="J38" s="23">
        <f t="shared" si="4"/>
        <v>-3300</v>
      </c>
      <c r="K38" s="24">
        <f t="shared" si="4"/>
        <v>5408.7</v>
      </c>
      <c r="L38" s="23">
        <f t="shared" si="4"/>
        <v>146882.59999999998</v>
      </c>
      <c r="M38" s="23">
        <f t="shared" si="4"/>
        <v>-3974</v>
      </c>
      <c r="N38" s="23">
        <f t="shared" si="4"/>
        <v>142908.59999999998</v>
      </c>
      <c r="O38" s="93"/>
      <c r="P38" s="93"/>
      <c r="Q38" s="25"/>
    </row>
    <row r="39" spans="1:17" ht="15.75" x14ac:dyDescent="0.2">
      <c r="A39" s="49"/>
      <c r="B39" s="50" t="s">
        <v>59</v>
      </c>
      <c r="C39" s="51" t="s">
        <v>60</v>
      </c>
      <c r="D39" s="52" t="s">
        <v>26</v>
      </c>
      <c r="E39" s="106"/>
      <c r="F39" s="53">
        <f>F40</f>
        <v>6334.3</v>
      </c>
      <c r="G39" s="53">
        <f>G40</f>
        <v>0</v>
      </c>
      <c r="H39" s="53">
        <f>H40</f>
        <v>6334.3</v>
      </c>
      <c r="I39" s="54">
        <f>I40</f>
        <v>0</v>
      </c>
      <c r="J39" s="87"/>
      <c r="K39" s="54">
        <f>K40</f>
        <v>0</v>
      </c>
      <c r="L39" s="53">
        <f>L40</f>
        <v>6334.3</v>
      </c>
      <c r="M39" s="53">
        <f>M40</f>
        <v>0</v>
      </c>
      <c r="N39" s="53">
        <f>N40</f>
        <v>6334.3</v>
      </c>
      <c r="O39" s="95"/>
      <c r="P39" s="95"/>
    </row>
    <row r="40" spans="1:17" ht="15.75" x14ac:dyDescent="0.2">
      <c r="A40" s="42"/>
      <c r="B40" s="43" t="s">
        <v>61</v>
      </c>
      <c r="C40" s="44" t="s">
        <v>62</v>
      </c>
      <c r="D40" s="45" t="s">
        <v>26</v>
      </c>
      <c r="E40" s="105"/>
      <c r="F40" s="46">
        <f>F41+F43+F45</f>
        <v>6334.3</v>
      </c>
      <c r="G40" s="46">
        <f>G41+G43+G45</f>
        <v>0</v>
      </c>
      <c r="H40" s="46">
        <f>H41+H43+H45</f>
        <v>6334.3</v>
      </c>
      <c r="I40" s="47">
        <f>I41+I43+I45</f>
        <v>0</v>
      </c>
      <c r="J40" s="88"/>
      <c r="K40" s="47">
        <f>K41+K43+K45</f>
        <v>0</v>
      </c>
      <c r="L40" s="46">
        <f>L41+L43+L45</f>
        <v>6334.3</v>
      </c>
      <c r="M40" s="46">
        <f>M41+M43+M45</f>
        <v>0</v>
      </c>
      <c r="N40" s="46">
        <f>N41+N43+N45</f>
        <v>6334.3</v>
      </c>
      <c r="O40" s="94"/>
      <c r="P40" s="94"/>
    </row>
    <row r="41" spans="1:17" ht="15.75" x14ac:dyDescent="0.2">
      <c r="A41" s="42"/>
      <c r="B41" s="43" t="s">
        <v>63</v>
      </c>
      <c r="C41" s="44" t="s">
        <v>64</v>
      </c>
      <c r="D41" s="45" t="s">
        <v>26</v>
      </c>
      <c r="E41" s="105"/>
      <c r="F41" s="46">
        <f>F42</f>
        <v>6034.3</v>
      </c>
      <c r="G41" s="46">
        <f>G42</f>
        <v>0</v>
      </c>
      <c r="H41" s="46">
        <f>H42</f>
        <v>6034.3</v>
      </c>
      <c r="I41" s="47">
        <f>I42</f>
        <v>0</v>
      </c>
      <c r="J41" s="88"/>
      <c r="K41" s="47">
        <f>K42</f>
        <v>0</v>
      </c>
      <c r="L41" s="46">
        <f>L42</f>
        <v>6034.3</v>
      </c>
      <c r="M41" s="46">
        <f>M42</f>
        <v>0</v>
      </c>
      <c r="N41" s="46">
        <f>N42</f>
        <v>6034.3</v>
      </c>
      <c r="O41" s="94"/>
      <c r="P41" s="94"/>
    </row>
    <row r="42" spans="1:17" ht="31.5" x14ac:dyDescent="0.2">
      <c r="A42" s="42"/>
      <c r="B42" s="43" t="s">
        <v>35</v>
      </c>
      <c r="C42" s="44" t="s">
        <v>64</v>
      </c>
      <c r="D42" s="45" t="s">
        <v>36</v>
      </c>
      <c r="E42" s="105"/>
      <c r="F42" s="46">
        <v>6034.3</v>
      </c>
      <c r="G42" s="46"/>
      <c r="H42" s="46">
        <f>SUM(F42)</f>
        <v>6034.3</v>
      </c>
      <c r="I42" s="47">
        <v>0</v>
      </c>
      <c r="J42" s="88"/>
      <c r="K42" s="47">
        <v>0</v>
      </c>
      <c r="L42" s="46">
        <f>SUM(F42)</f>
        <v>6034.3</v>
      </c>
      <c r="M42" s="46">
        <f>SUM(G42)</f>
        <v>0</v>
      </c>
      <c r="N42" s="46">
        <f>SUM(L42)</f>
        <v>6034.3</v>
      </c>
      <c r="O42" s="94"/>
      <c r="P42" s="94"/>
    </row>
    <row r="43" spans="1:17" ht="15.75" x14ac:dyDescent="0.2">
      <c r="A43" s="42"/>
      <c r="B43" s="43" t="s">
        <v>65</v>
      </c>
      <c r="C43" s="44" t="s">
        <v>66</v>
      </c>
      <c r="D43" s="45" t="s">
        <v>26</v>
      </c>
      <c r="E43" s="105"/>
      <c r="F43" s="46">
        <f>F44</f>
        <v>300</v>
      </c>
      <c r="G43" s="46">
        <f>G44</f>
        <v>0</v>
      </c>
      <c r="H43" s="46">
        <f>H44</f>
        <v>300</v>
      </c>
      <c r="I43" s="47">
        <f>I44</f>
        <v>0</v>
      </c>
      <c r="J43" s="88"/>
      <c r="K43" s="47">
        <f>K44</f>
        <v>0</v>
      </c>
      <c r="L43" s="46">
        <f>L44</f>
        <v>300</v>
      </c>
      <c r="M43" s="46">
        <f>M44</f>
        <v>0</v>
      </c>
      <c r="N43" s="46">
        <f>N44</f>
        <v>300</v>
      </c>
      <c r="O43" s="94"/>
      <c r="P43" s="94"/>
    </row>
    <row r="44" spans="1:17" ht="31.5" x14ac:dyDescent="0.2">
      <c r="A44" s="42"/>
      <c r="B44" s="43" t="s">
        <v>35</v>
      </c>
      <c r="C44" s="44" t="s">
        <v>66</v>
      </c>
      <c r="D44" s="45" t="s">
        <v>36</v>
      </c>
      <c r="E44" s="105"/>
      <c r="F44" s="46">
        <v>300</v>
      </c>
      <c r="G44" s="46"/>
      <c r="H44" s="46">
        <v>300</v>
      </c>
      <c r="I44" s="47">
        <v>0</v>
      </c>
      <c r="J44" s="88"/>
      <c r="K44" s="47">
        <v>0</v>
      </c>
      <c r="L44" s="46">
        <v>300</v>
      </c>
      <c r="M44" s="46"/>
      <c r="N44" s="46">
        <v>300</v>
      </c>
      <c r="O44" s="94"/>
      <c r="P44" s="94"/>
    </row>
    <row r="45" spans="1:17" ht="15.75" x14ac:dyDescent="0.2">
      <c r="A45" s="42"/>
      <c r="B45" s="43" t="s">
        <v>67</v>
      </c>
      <c r="C45" s="44" t="s">
        <v>68</v>
      </c>
      <c r="D45" s="45" t="s">
        <v>26</v>
      </c>
      <c r="E45" s="105"/>
      <c r="F45" s="46">
        <f>F46</f>
        <v>0</v>
      </c>
      <c r="G45" s="46">
        <f>G46</f>
        <v>0</v>
      </c>
      <c r="H45" s="46">
        <f>H46</f>
        <v>0</v>
      </c>
      <c r="I45" s="47">
        <f>I46</f>
        <v>0</v>
      </c>
      <c r="J45" s="88"/>
      <c r="K45" s="47">
        <f>K46</f>
        <v>0</v>
      </c>
      <c r="L45" s="46">
        <f>L46</f>
        <v>0</v>
      </c>
      <c r="M45" s="46">
        <f>M46</f>
        <v>0</v>
      </c>
      <c r="N45" s="46">
        <f>N46</f>
        <v>0</v>
      </c>
      <c r="O45" s="94"/>
      <c r="P45" s="94"/>
    </row>
    <row r="46" spans="1:17" ht="31.5" x14ac:dyDescent="0.2">
      <c r="A46" s="42"/>
      <c r="B46" s="43" t="s">
        <v>35</v>
      </c>
      <c r="C46" s="44" t="s">
        <v>68</v>
      </c>
      <c r="D46" s="45" t="s">
        <v>36</v>
      </c>
      <c r="E46" s="105"/>
      <c r="F46" s="46"/>
      <c r="G46" s="46"/>
      <c r="H46" s="46"/>
      <c r="I46" s="47">
        <v>0</v>
      </c>
      <c r="J46" s="88"/>
      <c r="K46" s="47">
        <v>0</v>
      </c>
      <c r="L46" s="46"/>
      <c r="M46" s="46"/>
      <c r="N46" s="46"/>
      <c r="O46" s="94"/>
      <c r="P46" s="94"/>
    </row>
    <row r="47" spans="1:17" ht="47.25" x14ac:dyDescent="0.2">
      <c r="A47" s="49"/>
      <c r="B47" s="50" t="s">
        <v>69</v>
      </c>
      <c r="C47" s="51" t="s">
        <v>70</v>
      </c>
      <c r="D47" s="52" t="s">
        <v>26</v>
      </c>
      <c r="E47" s="106"/>
      <c r="F47" s="53">
        <f t="shared" ref="F47:N47" si="5">F48+F63</f>
        <v>129973.69999999998</v>
      </c>
      <c r="G47" s="53">
        <f t="shared" si="5"/>
        <v>0</v>
      </c>
      <c r="H47" s="53">
        <f t="shared" si="5"/>
        <v>129299.69999999998</v>
      </c>
      <c r="I47" s="54">
        <f t="shared" si="5"/>
        <v>8708.7000000000007</v>
      </c>
      <c r="J47" s="53">
        <f t="shared" si="5"/>
        <v>-3300</v>
      </c>
      <c r="K47" s="54">
        <f t="shared" si="5"/>
        <v>5408.7</v>
      </c>
      <c r="L47" s="53">
        <f t="shared" si="5"/>
        <v>138682.4</v>
      </c>
      <c r="M47" s="53">
        <f t="shared" si="5"/>
        <v>-3974</v>
      </c>
      <c r="N47" s="53">
        <f t="shared" si="5"/>
        <v>134708.4</v>
      </c>
      <c r="O47" s="95"/>
      <c r="P47" s="95"/>
      <c r="Q47" s="55"/>
    </row>
    <row r="48" spans="1:17" ht="36.6" customHeight="1" x14ac:dyDescent="0.2">
      <c r="A48" s="42"/>
      <c r="B48" s="43" t="s">
        <v>71</v>
      </c>
      <c r="C48" s="44" t="s">
        <v>72</v>
      </c>
      <c r="D48" s="45" t="s">
        <v>26</v>
      </c>
      <c r="E48" s="105"/>
      <c r="F48" s="46">
        <f>F49+F56+F58+F60+F54</f>
        <v>120262.49999999999</v>
      </c>
      <c r="G48" s="46">
        <f>G49+G56+G58+G60</f>
        <v>0</v>
      </c>
      <c r="H48" s="46">
        <f>H49+H56+H58+H60+H54</f>
        <v>119588.49999999999</v>
      </c>
      <c r="I48" s="46">
        <f>I49+I56+I58+I60+I54</f>
        <v>8708.7000000000007</v>
      </c>
      <c r="J48" s="46">
        <f>SUM(J54)</f>
        <v>-3300</v>
      </c>
      <c r="K48" s="46">
        <f>K49+K56+K58+K60+K54</f>
        <v>5408.7</v>
      </c>
      <c r="L48" s="46">
        <f>L49+L56+L58+L60+L54</f>
        <v>128971.19999999998</v>
      </c>
      <c r="M48" s="46">
        <f>M49+M56+M58+M60+M54</f>
        <v>-3974</v>
      </c>
      <c r="N48" s="46">
        <f>N49+N56+N58+N60+N54</f>
        <v>124997.19999999998</v>
      </c>
      <c r="O48" s="94"/>
      <c r="P48" s="94"/>
      <c r="Q48" s="48"/>
    </row>
    <row r="49" spans="1:16" ht="31.5" x14ac:dyDescent="0.2">
      <c r="A49" s="42"/>
      <c r="B49" s="43" t="s">
        <v>39</v>
      </c>
      <c r="C49" s="44" t="s">
        <v>73</v>
      </c>
      <c r="D49" s="45" t="s">
        <v>26</v>
      </c>
      <c r="E49" s="105"/>
      <c r="F49" s="46">
        <f>SUM(F52+F53+F51)+F50</f>
        <v>115445</v>
      </c>
      <c r="G49" s="46">
        <f>G50+G51+G52+G53</f>
        <v>0</v>
      </c>
      <c r="H49" s="46">
        <f>H50+H51+H52+H53</f>
        <v>115445</v>
      </c>
      <c r="I49" s="47">
        <f>I50+I51+I52+I53</f>
        <v>0</v>
      </c>
      <c r="J49" s="88"/>
      <c r="K49" s="47">
        <f>K50+K51+K52+K53</f>
        <v>0</v>
      </c>
      <c r="L49" s="46">
        <f>L50+L51+L52+L53</f>
        <v>115445</v>
      </c>
      <c r="M49" s="46">
        <f>M50+M51+M52+M53</f>
        <v>0</v>
      </c>
      <c r="N49" s="46">
        <f>N50+N51+N52+N53</f>
        <v>115445</v>
      </c>
      <c r="O49" s="94"/>
      <c r="P49" s="94"/>
    </row>
    <row r="50" spans="1:16" ht="64.150000000000006" customHeight="1" x14ac:dyDescent="0.2">
      <c r="A50" s="42"/>
      <c r="B50" s="43" t="s">
        <v>31</v>
      </c>
      <c r="C50" s="44" t="s">
        <v>73</v>
      </c>
      <c r="D50" s="45" t="s">
        <v>32</v>
      </c>
      <c r="E50" s="105"/>
      <c r="F50" s="56">
        <f>20290.4+351.1</f>
        <v>20641.5</v>
      </c>
      <c r="G50" s="56"/>
      <c r="H50" s="56">
        <f>20290.4+351.1</f>
        <v>20641.5</v>
      </c>
      <c r="I50" s="47">
        <v>0</v>
      </c>
      <c r="J50" s="111"/>
      <c r="K50" s="47">
        <v>0</v>
      </c>
      <c r="L50" s="56">
        <f>20290.4+351.1</f>
        <v>20641.5</v>
      </c>
      <c r="M50" s="56"/>
      <c r="N50" s="56">
        <f>20290.4+351.1</f>
        <v>20641.5</v>
      </c>
      <c r="O50" s="94"/>
      <c r="P50" s="94"/>
    </row>
    <row r="51" spans="1:16" ht="31.5" x14ac:dyDescent="0.2">
      <c r="A51" s="42"/>
      <c r="B51" s="43" t="s">
        <v>35</v>
      </c>
      <c r="C51" s="44" t="s">
        <v>73</v>
      </c>
      <c r="D51" s="45" t="s">
        <v>36</v>
      </c>
      <c r="E51" s="105"/>
      <c r="F51" s="46">
        <v>6910.7</v>
      </c>
      <c r="G51" s="46"/>
      <c r="H51" s="46">
        <f>SUM(F51)</f>
        <v>6910.7</v>
      </c>
      <c r="I51" s="47">
        <v>0</v>
      </c>
      <c r="J51" s="88"/>
      <c r="K51" s="47">
        <v>0</v>
      </c>
      <c r="L51" s="46">
        <f>SUM(F51)</f>
        <v>6910.7</v>
      </c>
      <c r="M51" s="46">
        <f>SUM(G51)</f>
        <v>0</v>
      </c>
      <c r="N51" s="46">
        <f>SUM(H51)</f>
        <v>6910.7</v>
      </c>
      <c r="O51" s="94"/>
      <c r="P51" s="94"/>
    </row>
    <row r="52" spans="1:16" ht="31.5" x14ac:dyDescent="0.2">
      <c r="A52" s="42"/>
      <c r="B52" s="43" t="s">
        <v>74</v>
      </c>
      <c r="C52" s="44" t="s">
        <v>73</v>
      </c>
      <c r="D52" s="45" t="s">
        <v>75</v>
      </c>
      <c r="E52" s="105"/>
      <c r="F52" s="56">
        <f>86661+1213.2</f>
        <v>87874.2</v>
      </c>
      <c r="G52" s="56"/>
      <c r="H52" s="56">
        <f>86661+1213.2</f>
        <v>87874.2</v>
      </c>
      <c r="I52" s="47">
        <v>0</v>
      </c>
      <c r="J52" s="111"/>
      <c r="K52" s="47">
        <v>0</v>
      </c>
      <c r="L52" s="56">
        <f>86661+1213.2</f>
        <v>87874.2</v>
      </c>
      <c r="M52" s="56"/>
      <c r="N52" s="56">
        <f>86661+1213.2</f>
        <v>87874.2</v>
      </c>
      <c r="O52" s="94"/>
      <c r="P52" s="94"/>
    </row>
    <row r="53" spans="1:16" ht="15.75" x14ac:dyDescent="0.2">
      <c r="A53" s="42"/>
      <c r="B53" s="43" t="s">
        <v>41</v>
      </c>
      <c r="C53" s="44" t="s">
        <v>73</v>
      </c>
      <c r="D53" s="45" t="s">
        <v>42</v>
      </c>
      <c r="E53" s="105"/>
      <c r="F53" s="46">
        <v>18.600000000000001</v>
      </c>
      <c r="G53" s="46"/>
      <c r="H53" s="46">
        <v>18.600000000000001</v>
      </c>
      <c r="I53" s="47">
        <v>0</v>
      </c>
      <c r="J53" s="88"/>
      <c r="K53" s="47">
        <v>0</v>
      </c>
      <c r="L53" s="46">
        <v>18.600000000000001</v>
      </c>
      <c r="M53" s="46"/>
      <c r="N53" s="46">
        <v>18.600000000000001</v>
      </c>
      <c r="O53" s="94"/>
      <c r="P53" s="94"/>
    </row>
    <row r="54" spans="1:16" ht="42.75" customHeight="1" x14ac:dyDescent="0.2">
      <c r="A54" s="42"/>
      <c r="B54" s="122" t="s">
        <v>76</v>
      </c>
      <c r="C54" s="44" t="s">
        <v>77</v>
      </c>
      <c r="D54" s="45"/>
      <c r="E54" s="105"/>
      <c r="F54" s="46">
        <f>SUM(F55)</f>
        <v>2122.9</v>
      </c>
      <c r="G54" s="46">
        <f>SUM(G55)</f>
        <v>-674</v>
      </c>
      <c r="H54" s="46">
        <f>SUM(F54)+G54</f>
        <v>1448.9</v>
      </c>
      <c r="I54" s="47">
        <f>SUM(I55)</f>
        <v>3300</v>
      </c>
      <c r="J54" s="88">
        <f>SUM(J55)</f>
        <v>-3300</v>
      </c>
      <c r="K54" s="47">
        <f>SUM(K55)</f>
        <v>0</v>
      </c>
      <c r="L54" s="46">
        <f>SUM(L55)</f>
        <v>5422.9</v>
      </c>
      <c r="M54" s="46">
        <f>SUM(J54)+G54</f>
        <v>-3974</v>
      </c>
      <c r="N54" s="46">
        <f>SUM(N55)</f>
        <v>1448.9</v>
      </c>
      <c r="O54" s="94"/>
      <c r="P54" s="94"/>
    </row>
    <row r="55" spans="1:16" ht="31.5" x14ac:dyDescent="0.2">
      <c r="A55" s="42"/>
      <c r="B55" s="43" t="s">
        <v>74</v>
      </c>
      <c r="C55" s="44" t="s">
        <v>77</v>
      </c>
      <c r="D55" s="45" t="s">
        <v>75</v>
      </c>
      <c r="E55" s="105"/>
      <c r="F55" s="46">
        <v>2122.9</v>
      </c>
      <c r="G55" s="46">
        <f>-1564+890</f>
        <v>-674</v>
      </c>
      <c r="H55" s="46">
        <f>SUM(F55)+G55</f>
        <v>1448.9</v>
      </c>
      <c r="I55" s="47">
        <v>3300</v>
      </c>
      <c r="J55" s="88">
        <v>-3300</v>
      </c>
      <c r="K55" s="47">
        <f>SUM(I55)+J55</f>
        <v>0</v>
      </c>
      <c r="L55" s="46">
        <f>SUM(F55+I55)</f>
        <v>5422.9</v>
      </c>
      <c r="M55" s="46">
        <f>SUM(J55)+G55</f>
        <v>-3974</v>
      </c>
      <c r="N55" s="46">
        <f>SUM(K55)+H55</f>
        <v>1448.9</v>
      </c>
      <c r="O55" s="94"/>
      <c r="P55" s="94"/>
    </row>
    <row r="56" spans="1:16" ht="36" customHeight="1" x14ac:dyDescent="0.2">
      <c r="A56" s="42"/>
      <c r="B56" s="43" t="s">
        <v>78</v>
      </c>
      <c r="C56" s="44" t="s">
        <v>79</v>
      </c>
      <c r="D56" s="45" t="s">
        <v>26</v>
      </c>
      <c r="E56" s="105"/>
      <c r="F56" s="46">
        <f>F57</f>
        <v>1814</v>
      </c>
      <c r="G56" s="46">
        <f>G57</f>
        <v>0</v>
      </c>
      <c r="H56" s="46">
        <f>H57</f>
        <v>1814</v>
      </c>
      <c r="I56" s="47">
        <f>I57</f>
        <v>0</v>
      </c>
      <c r="J56" s="88"/>
      <c r="K56" s="47">
        <f>K57</f>
        <v>0</v>
      </c>
      <c r="L56" s="46">
        <f>L57</f>
        <v>1814</v>
      </c>
      <c r="M56" s="46">
        <f>M57</f>
        <v>0</v>
      </c>
      <c r="N56" s="46">
        <f>N57</f>
        <v>1814</v>
      </c>
      <c r="O56" s="94"/>
      <c r="P56" s="94"/>
    </row>
    <row r="57" spans="1:16" ht="31.5" x14ac:dyDescent="0.2">
      <c r="A57" s="42"/>
      <c r="B57" s="43" t="s">
        <v>74</v>
      </c>
      <c r="C57" s="44" t="s">
        <v>79</v>
      </c>
      <c r="D57" s="45" t="s">
        <v>75</v>
      </c>
      <c r="E57" s="105"/>
      <c r="F57" s="46">
        <v>1814</v>
      </c>
      <c r="G57" s="46"/>
      <c r="H57" s="46">
        <v>1814</v>
      </c>
      <c r="I57" s="47">
        <v>0</v>
      </c>
      <c r="J57" s="88"/>
      <c r="K57" s="47">
        <v>0</v>
      </c>
      <c r="L57" s="46">
        <f>SUM(F57)</f>
        <v>1814</v>
      </c>
      <c r="M57" s="46">
        <f>SUM(G57)</f>
        <v>0</v>
      </c>
      <c r="N57" s="46">
        <f>SUM(L57)</f>
        <v>1814</v>
      </c>
      <c r="O57" s="94"/>
      <c r="P57" s="94"/>
    </row>
    <row r="58" spans="1:16" ht="33" customHeight="1" x14ac:dyDescent="0.2">
      <c r="A58" s="42"/>
      <c r="B58" s="43" t="s">
        <v>80</v>
      </c>
      <c r="C58" s="44" t="s">
        <v>81</v>
      </c>
      <c r="D58" s="45" t="s">
        <v>26</v>
      </c>
      <c r="E58" s="105"/>
      <c r="F58" s="46">
        <f>F59</f>
        <v>626.20000000000005</v>
      </c>
      <c r="G58" s="46">
        <f>G59</f>
        <v>0</v>
      </c>
      <c r="H58" s="46">
        <f>H59</f>
        <v>626.20000000000005</v>
      </c>
      <c r="I58" s="47">
        <f>I59</f>
        <v>3846.2</v>
      </c>
      <c r="J58" s="88"/>
      <c r="K58" s="47">
        <f>K59</f>
        <v>3846.2</v>
      </c>
      <c r="L58" s="46">
        <f>L59</f>
        <v>4472.3999999999996</v>
      </c>
      <c r="M58" s="46">
        <f>M59</f>
        <v>0</v>
      </c>
      <c r="N58" s="46">
        <f>N59</f>
        <v>4472.3999999999996</v>
      </c>
      <c r="O58" s="94"/>
      <c r="P58" s="94"/>
    </row>
    <row r="59" spans="1:16" ht="31.5" x14ac:dyDescent="0.2">
      <c r="A59" s="42"/>
      <c r="B59" s="43" t="s">
        <v>74</v>
      </c>
      <c r="C59" s="44" t="s">
        <v>81</v>
      </c>
      <c r="D59" s="45" t="s">
        <v>75</v>
      </c>
      <c r="E59" s="105"/>
      <c r="F59" s="46">
        <v>626.20000000000005</v>
      </c>
      <c r="G59" s="46"/>
      <c r="H59" s="46">
        <v>626.20000000000005</v>
      </c>
      <c r="I59" s="47">
        <v>3846.2</v>
      </c>
      <c r="J59" s="88"/>
      <c r="K59" s="47">
        <v>3846.2</v>
      </c>
      <c r="L59" s="46">
        <f>626.2+I59</f>
        <v>4472.3999999999996</v>
      </c>
      <c r="M59" s="46"/>
      <c r="N59" s="46">
        <f>626.2+K59</f>
        <v>4472.3999999999996</v>
      </c>
      <c r="O59" s="94"/>
      <c r="P59" s="94"/>
    </row>
    <row r="60" spans="1:16" ht="15.75" x14ac:dyDescent="0.2">
      <c r="A60" s="42"/>
      <c r="B60" s="43" t="s">
        <v>82</v>
      </c>
      <c r="C60" s="44" t="s">
        <v>83</v>
      </c>
      <c r="D60" s="45"/>
      <c r="E60" s="105"/>
      <c r="F60" s="46">
        <v>254.4</v>
      </c>
      <c r="G60" s="46"/>
      <c r="H60" s="46">
        <v>254.4</v>
      </c>
      <c r="I60" s="47">
        <v>1562.5</v>
      </c>
      <c r="J60" s="88"/>
      <c r="K60" s="47">
        <v>1562.5</v>
      </c>
      <c r="L60" s="46">
        <f>254.4+I60</f>
        <v>1816.9</v>
      </c>
      <c r="M60" s="46"/>
      <c r="N60" s="46">
        <f>254.4+K60</f>
        <v>1816.9</v>
      </c>
      <c r="O60" s="94"/>
      <c r="P60" s="94"/>
    </row>
    <row r="61" spans="1:16" ht="21" customHeight="1" x14ac:dyDescent="0.2">
      <c r="A61" s="42"/>
      <c r="B61" s="43" t="s">
        <v>84</v>
      </c>
      <c r="C61" s="44" t="s">
        <v>85</v>
      </c>
      <c r="D61" s="45"/>
      <c r="E61" s="105"/>
      <c r="F61" s="46">
        <v>254.4</v>
      </c>
      <c r="G61" s="46"/>
      <c r="H61" s="46">
        <v>254.4</v>
      </c>
      <c r="I61" s="47">
        <v>1562.5</v>
      </c>
      <c r="J61" s="88"/>
      <c r="K61" s="47">
        <v>1562.5</v>
      </c>
      <c r="L61" s="46">
        <f>254.4+I61</f>
        <v>1816.9</v>
      </c>
      <c r="M61" s="46"/>
      <c r="N61" s="46">
        <f>254.4+K61</f>
        <v>1816.9</v>
      </c>
      <c r="O61" s="94"/>
      <c r="P61" s="94"/>
    </row>
    <row r="62" spans="1:16" ht="31.5" x14ac:dyDescent="0.2">
      <c r="A62" s="42"/>
      <c r="B62" s="43" t="s">
        <v>74</v>
      </c>
      <c r="C62" s="44" t="s">
        <v>83</v>
      </c>
      <c r="D62" s="45" t="s">
        <v>75</v>
      </c>
      <c r="E62" s="105"/>
      <c r="F62" s="46">
        <v>254.4</v>
      </c>
      <c r="G62" s="46"/>
      <c r="H62" s="46">
        <v>254.4</v>
      </c>
      <c r="I62" s="47">
        <v>1562.5</v>
      </c>
      <c r="J62" s="88"/>
      <c r="K62" s="47">
        <v>1562.5</v>
      </c>
      <c r="L62" s="46">
        <f>254.4+I62</f>
        <v>1816.9</v>
      </c>
      <c r="M62" s="46"/>
      <c r="N62" s="46">
        <f>254.4+K62</f>
        <v>1816.9</v>
      </c>
      <c r="O62" s="94"/>
      <c r="P62" s="94"/>
    </row>
    <row r="63" spans="1:16" ht="36" customHeight="1" x14ac:dyDescent="0.2">
      <c r="A63" s="42"/>
      <c r="B63" s="43" t="s">
        <v>86</v>
      </c>
      <c r="C63" s="44" t="s">
        <v>87</v>
      </c>
      <c r="D63" s="45" t="s">
        <v>26</v>
      </c>
      <c r="E63" s="105"/>
      <c r="F63" s="46">
        <f>F64</f>
        <v>9711.2000000000007</v>
      </c>
      <c r="G63" s="46">
        <f>G64</f>
        <v>0</v>
      </c>
      <c r="H63" s="46">
        <f>H64</f>
        <v>9711.2000000000007</v>
      </c>
      <c r="I63" s="47">
        <f>I64</f>
        <v>0</v>
      </c>
      <c r="J63" s="88"/>
      <c r="K63" s="47">
        <f>K64</f>
        <v>0</v>
      </c>
      <c r="L63" s="46">
        <f>L64</f>
        <v>9711.2000000000007</v>
      </c>
      <c r="M63" s="46">
        <f>M64</f>
        <v>0</v>
      </c>
      <c r="N63" s="46">
        <f>N64</f>
        <v>9711.2000000000007</v>
      </c>
      <c r="O63" s="94"/>
      <c r="P63" s="94"/>
    </row>
    <row r="64" spans="1:16" ht="31.5" x14ac:dyDescent="0.2">
      <c r="A64" s="42"/>
      <c r="B64" s="43" t="s">
        <v>39</v>
      </c>
      <c r="C64" s="44" t="s">
        <v>88</v>
      </c>
      <c r="D64" s="45" t="s">
        <v>26</v>
      </c>
      <c r="E64" s="105"/>
      <c r="F64" s="46">
        <f>F65+F66+F67</f>
        <v>9711.2000000000007</v>
      </c>
      <c r="G64" s="46">
        <f>G65+G66+G67</f>
        <v>0</v>
      </c>
      <c r="H64" s="46">
        <f>H65+H66+H67</f>
        <v>9711.2000000000007</v>
      </c>
      <c r="I64" s="47">
        <f>I65+I66+I67</f>
        <v>0</v>
      </c>
      <c r="J64" s="88"/>
      <c r="K64" s="47">
        <f>K65+K66+K67</f>
        <v>0</v>
      </c>
      <c r="L64" s="46">
        <f>L65+L66+L67</f>
        <v>9711.2000000000007</v>
      </c>
      <c r="M64" s="46">
        <f>M65+M66+M67</f>
        <v>0</v>
      </c>
      <c r="N64" s="46">
        <f>N65+N66+N67</f>
        <v>9711.2000000000007</v>
      </c>
      <c r="O64" s="94"/>
      <c r="P64" s="94"/>
    </row>
    <row r="65" spans="1:16" ht="70.150000000000006" customHeight="1" x14ac:dyDescent="0.2">
      <c r="A65" s="42"/>
      <c r="B65" s="43" t="s">
        <v>31</v>
      </c>
      <c r="C65" s="44" t="s">
        <v>88</v>
      </c>
      <c r="D65" s="45" t="s">
        <v>32</v>
      </c>
      <c r="E65" s="105"/>
      <c r="F65" s="46">
        <v>8283.2000000000007</v>
      </c>
      <c r="G65" s="46"/>
      <c r="H65" s="46">
        <f>SUM(F65)</f>
        <v>8283.2000000000007</v>
      </c>
      <c r="I65" s="47">
        <v>0</v>
      </c>
      <c r="J65" s="88"/>
      <c r="K65" s="47">
        <v>0</v>
      </c>
      <c r="L65" s="46">
        <f t="shared" ref="L65:N66" si="6">SUM(F65)</f>
        <v>8283.2000000000007</v>
      </c>
      <c r="M65" s="46">
        <f t="shared" si="6"/>
        <v>0</v>
      </c>
      <c r="N65" s="46">
        <f t="shared" si="6"/>
        <v>8283.2000000000007</v>
      </c>
      <c r="O65" s="94"/>
      <c r="P65" s="94"/>
    </row>
    <row r="66" spans="1:16" ht="31.5" x14ac:dyDescent="0.2">
      <c r="A66" s="42"/>
      <c r="B66" s="43" t="s">
        <v>35</v>
      </c>
      <c r="C66" s="44" t="s">
        <v>88</v>
      </c>
      <c r="D66" s="45" t="s">
        <v>36</v>
      </c>
      <c r="E66" s="105"/>
      <c r="F66" s="46">
        <v>1426.9</v>
      </c>
      <c r="G66" s="46"/>
      <c r="H66" s="46">
        <f>SUM(F66)</f>
        <v>1426.9</v>
      </c>
      <c r="I66" s="47">
        <v>0</v>
      </c>
      <c r="J66" s="88"/>
      <c r="K66" s="47">
        <v>0</v>
      </c>
      <c r="L66" s="46">
        <f t="shared" si="6"/>
        <v>1426.9</v>
      </c>
      <c r="M66" s="46">
        <f t="shared" si="6"/>
        <v>0</v>
      </c>
      <c r="N66" s="46">
        <f t="shared" si="6"/>
        <v>1426.9</v>
      </c>
      <c r="O66" s="94"/>
      <c r="P66" s="94"/>
    </row>
    <row r="67" spans="1:16" ht="15.75" x14ac:dyDescent="0.2">
      <c r="A67" s="42"/>
      <c r="B67" s="43" t="s">
        <v>41</v>
      </c>
      <c r="C67" s="44" t="s">
        <v>88</v>
      </c>
      <c r="D67" s="45" t="s">
        <v>42</v>
      </c>
      <c r="E67" s="105"/>
      <c r="F67" s="46">
        <v>1.1000000000000001</v>
      </c>
      <c r="G67" s="46"/>
      <c r="H67" s="46">
        <v>1.1000000000000001</v>
      </c>
      <c r="I67" s="47">
        <v>0</v>
      </c>
      <c r="J67" s="88"/>
      <c r="K67" s="47">
        <v>0</v>
      </c>
      <c r="L67" s="46">
        <v>1.1000000000000001</v>
      </c>
      <c r="M67" s="46"/>
      <c r="N67" s="46">
        <v>1.1000000000000001</v>
      </c>
      <c r="O67" s="94"/>
      <c r="P67" s="94"/>
    </row>
    <row r="68" spans="1:16" ht="31.5" x14ac:dyDescent="0.2">
      <c r="A68" s="49"/>
      <c r="B68" s="50" t="s">
        <v>89</v>
      </c>
      <c r="C68" s="51" t="s">
        <v>90</v>
      </c>
      <c r="D68" s="52" t="s">
        <v>26</v>
      </c>
      <c r="E68" s="106"/>
      <c r="F68" s="53">
        <f t="shared" ref="F68:N69" si="7">F69</f>
        <v>1865.9</v>
      </c>
      <c r="G68" s="53">
        <f t="shared" si="7"/>
        <v>0</v>
      </c>
      <c r="H68" s="53">
        <f t="shared" si="7"/>
        <v>1865.9</v>
      </c>
      <c r="I68" s="54">
        <f t="shared" si="7"/>
        <v>0</v>
      </c>
      <c r="J68" s="53">
        <f t="shared" si="7"/>
        <v>0</v>
      </c>
      <c r="K68" s="54">
        <f t="shared" si="7"/>
        <v>0</v>
      </c>
      <c r="L68" s="53">
        <f t="shared" si="7"/>
        <v>1865.9</v>
      </c>
      <c r="M68" s="53">
        <f t="shared" si="7"/>
        <v>0</v>
      </c>
      <c r="N68" s="53">
        <f t="shared" si="7"/>
        <v>1865.9</v>
      </c>
      <c r="O68" s="95"/>
      <c r="P68" s="95"/>
    </row>
    <row r="69" spans="1:16" ht="31.5" x14ac:dyDescent="0.2">
      <c r="A69" s="42"/>
      <c r="B69" s="43" t="s">
        <v>91</v>
      </c>
      <c r="C69" s="44" t="s">
        <v>92</v>
      </c>
      <c r="D69" s="45" t="s">
        <v>26</v>
      </c>
      <c r="E69" s="105"/>
      <c r="F69" s="46">
        <f t="shared" si="7"/>
        <v>1865.9</v>
      </c>
      <c r="G69" s="46">
        <f t="shared" si="7"/>
        <v>0</v>
      </c>
      <c r="H69" s="46">
        <f t="shared" si="7"/>
        <v>1865.9</v>
      </c>
      <c r="I69" s="47">
        <f t="shared" si="7"/>
        <v>0</v>
      </c>
      <c r="J69" s="88"/>
      <c r="K69" s="47">
        <f t="shared" si="7"/>
        <v>0</v>
      </c>
      <c r="L69" s="46">
        <f t="shared" si="7"/>
        <v>1865.9</v>
      </c>
      <c r="M69" s="46">
        <f t="shared" si="7"/>
        <v>0</v>
      </c>
      <c r="N69" s="46">
        <f t="shared" si="7"/>
        <v>1865.9</v>
      </c>
      <c r="O69" s="94"/>
      <c r="P69" s="94"/>
    </row>
    <row r="70" spans="1:16" ht="31.5" x14ac:dyDescent="0.2">
      <c r="A70" s="42"/>
      <c r="B70" s="43" t="s">
        <v>93</v>
      </c>
      <c r="C70" s="44" t="s">
        <v>94</v>
      </c>
      <c r="D70" s="45" t="s">
        <v>26</v>
      </c>
      <c r="E70" s="105"/>
      <c r="F70" s="46">
        <f>F71+F72</f>
        <v>1865.9</v>
      </c>
      <c r="G70" s="46">
        <f>G71+G72</f>
        <v>0</v>
      </c>
      <c r="H70" s="46">
        <f>H71+H72</f>
        <v>1865.9</v>
      </c>
      <c r="I70" s="47">
        <f>I71+I72</f>
        <v>0</v>
      </c>
      <c r="J70" s="88"/>
      <c r="K70" s="47">
        <f>K71+K72</f>
        <v>0</v>
      </c>
      <c r="L70" s="46">
        <f>L71+L72</f>
        <v>1865.9</v>
      </c>
      <c r="M70" s="46">
        <f>M71+M72</f>
        <v>0</v>
      </c>
      <c r="N70" s="46">
        <f>N71+N72</f>
        <v>1865.9</v>
      </c>
      <c r="O70" s="94"/>
      <c r="P70" s="94"/>
    </row>
    <row r="71" spans="1:16" ht="66" customHeight="1" x14ac:dyDescent="0.2">
      <c r="A71" s="42"/>
      <c r="B71" s="43" t="s">
        <v>31</v>
      </c>
      <c r="C71" s="44" t="s">
        <v>94</v>
      </c>
      <c r="D71" s="45" t="s">
        <v>32</v>
      </c>
      <c r="E71" s="105"/>
      <c r="F71" s="46">
        <v>1855.9</v>
      </c>
      <c r="G71" s="46"/>
      <c r="H71" s="46">
        <v>1855.9</v>
      </c>
      <c r="I71" s="47">
        <v>0</v>
      </c>
      <c r="J71" s="88"/>
      <c r="K71" s="47">
        <v>0</v>
      </c>
      <c r="L71" s="46">
        <v>1855.9</v>
      </c>
      <c r="M71" s="46"/>
      <c r="N71" s="46">
        <v>1855.9</v>
      </c>
      <c r="O71" s="94"/>
      <c r="P71" s="94"/>
    </row>
    <row r="72" spans="1:16" ht="31.5" x14ac:dyDescent="0.2">
      <c r="A72" s="42"/>
      <c r="B72" s="43" t="s">
        <v>35</v>
      </c>
      <c r="C72" s="44" t="s">
        <v>94</v>
      </c>
      <c r="D72" s="45" t="s">
        <v>36</v>
      </c>
      <c r="E72" s="105"/>
      <c r="F72" s="46">
        <v>10</v>
      </c>
      <c r="G72" s="46"/>
      <c r="H72" s="46">
        <v>10</v>
      </c>
      <c r="I72" s="47">
        <v>0</v>
      </c>
      <c r="J72" s="88"/>
      <c r="K72" s="47">
        <v>0</v>
      </c>
      <c r="L72" s="46">
        <v>10</v>
      </c>
      <c r="M72" s="46"/>
      <c r="N72" s="46">
        <v>10</v>
      </c>
      <c r="O72" s="94"/>
      <c r="P72" s="94"/>
    </row>
    <row r="73" spans="1:16" ht="31.5" x14ac:dyDescent="0.2">
      <c r="A73" s="19" t="s">
        <v>95</v>
      </c>
      <c r="B73" s="20" t="s">
        <v>96</v>
      </c>
      <c r="C73" s="21" t="s">
        <v>97</v>
      </c>
      <c r="D73" s="22" t="s">
        <v>26</v>
      </c>
      <c r="E73" s="104"/>
      <c r="F73" s="23">
        <f t="shared" ref="F73:N73" si="8">F74+F81</f>
        <v>8816</v>
      </c>
      <c r="G73" s="23">
        <f t="shared" si="8"/>
        <v>0</v>
      </c>
      <c r="H73" s="23">
        <f t="shared" si="8"/>
        <v>8816</v>
      </c>
      <c r="I73" s="24">
        <f t="shared" si="8"/>
        <v>0</v>
      </c>
      <c r="J73" s="23">
        <f t="shared" si="8"/>
        <v>0</v>
      </c>
      <c r="K73" s="24">
        <f t="shared" si="8"/>
        <v>0</v>
      </c>
      <c r="L73" s="23">
        <f t="shared" si="8"/>
        <v>8816</v>
      </c>
      <c r="M73" s="23">
        <f t="shared" si="8"/>
        <v>0</v>
      </c>
      <c r="N73" s="23">
        <f t="shared" si="8"/>
        <v>8816</v>
      </c>
      <c r="O73" s="93"/>
      <c r="P73" s="93"/>
    </row>
    <row r="74" spans="1:16" ht="31.5" x14ac:dyDescent="0.2">
      <c r="A74" s="49"/>
      <c r="B74" s="50" t="s">
        <v>98</v>
      </c>
      <c r="C74" s="51" t="s">
        <v>99</v>
      </c>
      <c r="D74" s="52" t="s">
        <v>26</v>
      </c>
      <c r="E74" s="106"/>
      <c r="F74" s="53">
        <f t="shared" ref="F74:N74" si="9">F75+F78</f>
        <v>8536</v>
      </c>
      <c r="G74" s="53">
        <f t="shared" si="9"/>
        <v>0</v>
      </c>
      <c r="H74" s="53">
        <f t="shared" si="9"/>
        <v>8536</v>
      </c>
      <c r="I74" s="54">
        <f t="shared" si="9"/>
        <v>0</v>
      </c>
      <c r="J74" s="53">
        <f t="shared" si="9"/>
        <v>0</v>
      </c>
      <c r="K74" s="54">
        <f t="shared" si="9"/>
        <v>0</v>
      </c>
      <c r="L74" s="53">
        <f t="shared" si="9"/>
        <v>8536</v>
      </c>
      <c r="M74" s="53">
        <f t="shared" si="9"/>
        <v>0</v>
      </c>
      <c r="N74" s="53">
        <f t="shared" si="9"/>
        <v>8536</v>
      </c>
      <c r="O74" s="95"/>
      <c r="P74" s="95"/>
    </row>
    <row r="75" spans="1:16" ht="31.5" x14ac:dyDescent="0.2">
      <c r="A75" s="42"/>
      <c r="B75" s="43" t="s">
        <v>100</v>
      </c>
      <c r="C75" s="44" t="s">
        <v>101</v>
      </c>
      <c r="D75" s="45" t="s">
        <v>26</v>
      </c>
      <c r="E75" s="105"/>
      <c r="F75" s="46">
        <f t="shared" ref="F75:N76" si="10">F76</f>
        <v>4496</v>
      </c>
      <c r="G75" s="46">
        <f t="shared" si="10"/>
        <v>0</v>
      </c>
      <c r="H75" s="46">
        <f t="shared" si="10"/>
        <v>4496</v>
      </c>
      <c r="I75" s="47">
        <f t="shared" si="10"/>
        <v>0</v>
      </c>
      <c r="J75" s="88"/>
      <c r="K75" s="47">
        <f t="shared" si="10"/>
        <v>0</v>
      </c>
      <c r="L75" s="46">
        <f t="shared" si="10"/>
        <v>4496</v>
      </c>
      <c r="M75" s="46">
        <f t="shared" si="10"/>
        <v>0</v>
      </c>
      <c r="N75" s="46">
        <f t="shared" si="10"/>
        <v>4496</v>
      </c>
      <c r="O75" s="94"/>
      <c r="P75" s="94"/>
    </row>
    <row r="76" spans="1:16" ht="15.75" x14ac:dyDescent="0.2">
      <c r="A76" s="42"/>
      <c r="B76" s="43" t="s">
        <v>102</v>
      </c>
      <c r="C76" s="44" t="s">
        <v>103</v>
      </c>
      <c r="D76" s="45" t="s">
        <v>26</v>
      </c>
      <c r="E76" s="105"/>
      <c r="F76" s="46">
        <f t="shared" si="10"/>
        <v>4496</v>
      </c>
      <c r="G76" s="46">
        <f t="shared" si="10"/>
        <v>0</v>
      </c>
      <c r="H76" s="46">
        <f t="shared" si="10"/>
        <v>4496</v>
      </c>
      <c r="I76" s="47">
        <f t="shared" si="10"/>
        <v>0</v>
      </c>
      <c r="J76" s="88"/>
      <c r="K76" s="47">
        <f t="shared" si="10"/>
        <v>0</v>
      </c>
      <c r="L76" s="46">
        <f t="shared" si="10"/>
        <v>4496</v>
      </c>
      <c r="M76" s="46">
        <f t="shared" si="10"/>
        <v>0</v>
      </c>
      <c r="N76" s="46">
        <f t="shared" si="10"/>
        <v>4496</v>
      </c>
      <c r="O76" s="94"/>
      <c r="P76" s="94"/>
    </row>
    <row r="77" spans="1:16" ht="15.75" x14ac:dyDescent="0.2">
      <c r="A77" s="42"/>
      <c r="B77" s="43" t="s">
        <v>54</v>
      </c>
      <c r="C77" s="44" t="s">
        <v>103</v>
      </c>
      <c r="D77" s="45" t="s">
        <v>55</v>
      </c>
      <c r="E77" s="105"/>
      <c r="F77" s="46">
        <v>4496</v>
      </c>
      <c r="G77" s="46"/>
      <c r="H77" s="46">
        <v>4496</v>
      </c>
      <c r="I77" s="47">
        <v>0</v>
      </c>
      <c r="J77" s="88"/>
      <c r="K77" s="47">
        <v>0</v>
      </c>
      <c r="L77" s="46">
        <v>4496</v>
      </c>
      <c r="M77" s="46"/>
      <c r="N77" s="46">
        <v>4496</v>
      </c>
      <c r="O77" s="94"/>
      <c r="P77" s="94"/>
    </row>
    <row r="78" spans="1:16" ht="36" customHeight="1" x14ac:dyDescent="0.2">
      <c r="A78" s="42"/>
      <c r="B78" s="43" t="s">
        <v>104</v>
      </c>
      <c r="C78" s="44" t="s">
        <v>105</v>
      </c>
      <c r="D78" s="45" t="s">
        <v>26</v>
      </c>
      <c r="E78" s="105"/>
      <c r="F78" s="46">
        <f t="shared" ref="F78:N79" si="11">F79</f>
        <v>4040</v>
      </c>
      <c r="G78" s="46">
        <f t="shared" si="11"/>
        <v>0</v>
      </c>
      <c r="H78" s="46">
        <f t="shared" si="11"/>
        <v>4040</v>
      </c>
      <c r="I78" s="47">
        <f t="shared" si="11"/>
        <v>0</v>
      </c>
      <c r="J78" s="88"/>
      <c r="K78" s="47">
        <f t="shared" si="11"/>
        <v>0</v>
      </c>
      <c r="L78" s="46">
        <f t="shared" si="11"/>
        <v>4040</v>
      </c>
      <c r="M78" s="46">
        <f t="shared" si="11"/>
        <v>0</v>
      </c>
      <c r="N78" s="46">
        <f t="shared" si="11"/>
        <v>4040</v>
      </c>
      <c r="O78" s="94"/>
      <c r="P78" s="94"/>
    </row>
    <row r="79" spans="1:16" ht="31.5" x14ac:dyDescent="0.2">
      <c r="A79" s="42"/>
      <c r="B79" s="43" t="s">
        <v>106</v>
      </c>
      <c r="C79" s="44" t="s">
        <v>107</v>
      </c>
      <c r="D79" s="45" t="s">
        <v>26</v>
      </c>
      <c r="E79" s="105"/>
      <c r="F79" s="46">
        <f t="shared" si="11"/>
        <v>4040</v>
      </c>
      <c r="G79" s="46">
        <f t="shared" si="11"/>
        <v>0</v>
      </c>
      <c r="H79" s="46">
        <f t="shared" si="11"/>
        <v>4040</v>
      </c>
      <c r="I79" s="47">
        <f t="shared" si="11"/>
        <v>0</v>
      </c>
      <c r="J79" s="88"/>
      <c r="K79" s="47">
        <f t="shared" si="11"/>
        <v>0</v>
      </c>
      <c r="L79" s="46">
        <f t="shared" si="11"/>
        <v>4040</v>
      </c>
      <c r="M79" s="46">
        <f t="shared" si="11"/>
        <v>0</v>
      </c>
      <c r="N79" s="46">
        <f t="shared" si="11"/>
        <v>4040</v>
      </c>
      <c r="O79" s="94"/>
      <c r="P79" s="94"/>
    </row>
    <row r="80" spans="1:16" ht="15.75" x14ac:dyDescent="0.2">
      <c r="A80" s="42"/>
      <c r="B80" s="43" t="s">
        <v>54</v>
      </c>
      <c r="C80" s="44" t="s">
        <v>107</v>
      </c>
      <c r="D80" s="45" t="s">
        <v>55</v>
      </c>
      <c r="E80" s="105"/>
      <c r="F80" s="46">
        <v>4040</v>
      </c>
      <c r="G80" s="46"/>
      <c r="H80" s="46">
        <v>4040</v>
      </c>
      <c r="I80" s="47">
        <v>0</v>
      </c>
      <c r="J80" s="88"/>
      <c r="K80" s="47">
        <v>0</v>
      </c>
      <c r="L80" s="46">
        <v>4040</v>
      </c>
      <c r="M80" s="46"/>
      <c r="N80" s="46">
        <v>4040</v>
      </c>
      <c r="O80" s="94"/>
      <c r="P80" s="94"/>
    </row>
    <row r="81" spans="1:17" ht="37.9" customHeight="1" x14ac:dyDescent="0.2">
      <c r="A81" s="49"/>
      <c r="B81" s="50" t="s">
        <v>108</v>
      </c>
      <c r="C81" s="51" t="s">
        <v>109</v>
      </c>
      <c r="D81" s="52" t="s">
        <v>26</v>
      </c>
      <c r="E81" s="106"/>
      <c r="F81" s="53">
        <f t="shared" ref="F81:N83" si="12">F82</f>
        <v>280</v>
      </c>
      <c r="G81" s="53">
        <f t="shared" si="12"/>
        <v>0</v>
      </c>
      <c r="H81" s="53">
        <f t="shared" si="12"/>
        <v>280</v>
      </c>
      <c r="I81" s="54">
        <f t="shared" si="12"/>
        <v>0</v>
      </c>
      <c r="J81" s="53">
        <f>J82</f>
        <v>0</v>
      </c>
      <c r="K81" s="54">
        <f t="shared" si="12"/>
        <v>0</v>
      </c>
      <c r="L81" s="53">
        <f t="shared" si="12"/>
        <v>280</v>
      </c>
      <c r="M81" s="53">
        <f t="shared" si="12"/>
        <v>0</v>
      </c>
      <c r="N81" s="53">
        <f t="shared" si="12"/>
        <v>280</v>
      </c>
      <c r="O81" s="95"/>
      <c r="P81" s="95"/>
    </row>
    <row r="82" spans="1:17" ht="64.150000000000006" customHeight="1" x14ac:dyDescent="0.2">
      <c r="A82" s="42"/>
      <c r="B82" s="43" t="s">
        <v>110</v>
      </c>
      <c r="C82" s="44" t="s">
        <v>111</v>
      </c>
      <c r="D82" s="45" t="s">
        <v>26</v>
      </c>
      <c r="E82" s="105"/>
      <c r="F82" s="46">
        <f t="shared" si="12"/>
        <v>280</v>
      </c>
      <c r="G82" s="46">
        <f t="shared" si="12"/>
        <v>0</v>
      </c>
      <c r="H82" s="46">
        <f t="shared" si="12"/>
        <v>280</v>
      </c>
      <c r="I82" s="47">
        <f t="shared" si="12"/>
        <v>0</v>
      </c>
      <c r="J82" s="88"/>
      <c r="K82" s="47">
        <f t="shared" si="12"/>
        <v>0</v>
      </c>
      <c r="L82" s="46">
        <f t="shared" si="12"/>
        <v>280</v>
      </c>
      <c r="M82" s="46">
        <f t="shared" si="12"/>
        <v>0</v>
      </c>
      <c r="N82" s="46">
        <f t="shared" si="12"/>
        <v>280</v>
      </c>
      <c r="O82" s="94"/>
      <c r="P82" s="94"/>
    </row>
    <row r="83" spans="1:17" ht="36.6" customHeight="1" x14ac:dyDescent="0.2">
      <c r="A83" s="42"/>
      <c r="B83" s="43" t="s">
        <v>112</v>
      </c>
      <c r="C83" s="44" t="s">
        <v>113</v>
      </c>
      <c r="D83" s="45" t="s">
        <v>26</v>
      </c>
      <c r="E83" s="105"/>
      <c r="F83" s="46">
        <f t="shared" si="12"/>
        <v>280</v>
      </c>
      <c r="G83" s="46">
        <f t="shared" si="12"/>
        <v>0</v>
      </c>
      <c r="H83" s="46">
        <f t="shared" si="12"/>
        <v>280</v>
      </c>
      <c r="I83" s="47">
        <f t="shared" si="12"/>
        <v>0</v>
      </c>
      <c r="J83" s="88"/>
      <c r="K83" s="47">
        <f t="shared" si="12"/>
        <v>0</v>
      </c>
      <c r="L83" s="46">
        <f t="shared" si="12"/>
        <v>280</v>
      </c>
      <c r="M83" s="46">
        <f t="shared" si="12"/>
        <v>0</v>
      </c>
      <c r="N83" s="46">
        <f t="shared" si="12"/>
        <v>280</v>
      </c>
      <c r="O83" s="94"/>
      <c r="P83" s="94"/>
    </row>
    <row r="84" spans="1:17" ht="31.5" x14ac:dyDescent="0.2">
      <c r="A84" s="42"/>
      <c r="B84" s="43" t="s">
        <v>74</v>
      </c>
      <c r="C84" s="44" t="s">
        <v>113</v>
      </c>
      <c r="D84" s="45" t="s">
        <v>75</v>
      </c>
      <c r="E84" s="105"/>
      <c r="F84" s="46">
        <v>280</v>
      </c>
      <c r="G84" s="46"/>
      <c r="H84" s="46">
        <v>280</v>
      </c>
      <c r="I84" s="47">
        <v>0</v>
      </c>
      <c r="J84" s="88"/>
      <c r="K84" s="47">
        <v>0</v>
      </c>
      <c r="L84" s="46">
        <v>280</v>
      </c>
      <c r="M84" s="46"/>
      <c r="N84" s="46">
        <v>280</v>
      </c>
      <c r="O84" s="94"/>
      <c r="P84" s="94"/>
    </row>
    <row r="85" spans="1:17" ht="47.25" x14ac:dyDescent="0.2">
      <c r="A85" s="19" t="s">
        <v>114</v>
      </c>
      <c r="B85" s="20" t="s">
        <v>115</v>
      </c>
      <c r="C85" s="21" t="s">
        <v>116</v>
      </c>
      <c r="D85" s="22" t="s">
        <v>26</v>
      </c>
      <c r="E85" s="104"/>
      <c r="F85" s="23">
        <f t="shared" ref="F85:N85" si="13">F86+F94+F106</f>
        <v>43468.600000000006</v>
      </c>
      <c r="G85" s="23">
        <f t="shared" si="13"/>
        <v>774.2</v>
      </c>
      <c r="H85" s="23">
        <f t="shared" si="13"/>
        <v>44242.8</v>
      </c>
      <c r="I85" s="24">
        <f t="shared" si="13"/>
        <v>51663.6</v>
      </c>
      <c r="J85" s="23">
        <f t="shared" si="13"/>
        <v>5589.3</v>
      </c>
      <c r="K85" s="24">
        <f t="shared" si="13"/>
        <v>57252.9</v>
      </c>
      <c r="L85" s="23">
        <f t="shared" si="13"/>
        <v>95132.2</v>
      </c>
      <c r="M85" s="23">
        <f t="shared" si="13"/>
        <v>6363.5</v>
      </c>
      <c r="N85" s="23">
        <f t="shared" si="13"/>
        <v>101495.7</v>
      </c>
      <c r="O85" s="93"/>
      <c r="P85" s="93"/>
      <c r="Q85" s="25"/>
    </row>
    <row r="86" spans="1:17" ht="33.6" customHeight="1" x14ac:dyDescent="0.2">
      <c r="A86" s="49"/>
      <c r="B86" s="50" t="s">
        <v>117</v>
      </c>
      <c r="C86" s="51" t="s">
        <v>118</v>
      </c>
      <c r="D86" s="52" t="s">
        <v>26</v>
      </c>
      <c r="E86" s="106"/>
      <c r="F86" s="53">
        <f t="shared" ref="F86:N86" si="14">F87</f>
        <v>1154.9000000000001</v>
      </c>
      <c r="G86" s="53">
        <f t="shared" si="14"/>
        <v>294.2</v>
      </c>
      <c r="H86" s="53">
        <f t="shared" si="14"/>
        <v>1449.1000000000001</v>
      </c>
      <c r="I86" s="54">
        <f t="shared" si="14"/>
        <v>7971.1</v>
      </c>
      <c r="J86" s="53">
        <f t="shared" si="14"/>
        <v>5589.3</v>
      </c>
      <c r="K86" s="54">
        <f t="shared" si="14"/>
        <v>13560.400000000001</v>
      </c>
      <c r="L86" s="53">
        <f t="shared" si="14"/>
        <v>9126</v>
      </c>
      <c r="M86" s="53">
        <f t="shared" si="14"/>
        <v>5883.5</v>
      </c>
      <c r="N86" s="53">
        <f t="shared" si="14"/>
        <v>15009.5</v>
      </c>
      <c r="O86" s="95"/>
      <c r="P86" s="95"/>
    </row>
    <row r="87" spans="1:17" ht="47.25" x14ac:dyDescent="0.2">
      <c r="A87" s="42"/>
      <c r="B87" s="43" t="s">
        <v>119</v>
      </c>
      <c r="C87" s="44" t="s">
        <v>120</v>
      </c>
      <c r="D87" s="45" t="s">
        <v>26</v>
      </c>
      <c r="E87" s="105"/>
      <c r="F87" s="46">
        <f>F92+F88</f>
        <v>1154.9000000000001</v>
      </c>
      <c r="G87" s="46">
        <f>G92+G88+G90</f>
        <v>294.2</v>
      </c>
      <c r="H87" s="46">
        <f>H92+H88+G87</f>
        <v>1449.1000000000001</v>
      </c>
      <c r="I87" s="47">
        <f>I92</f>
        <v>7971.1</v>
      </c>
      <c r="J87" s="46">
        <f>J92+J88+J90</f>
        <v>5589.3</v>
      </c>
      <c r="K87" s="47">
        <f>K92+J87</f>
        <v>13560.400000000001</v>
      </c>
      <c r="L87" s="46">
        <f>L92+L88</f>
        <v>9126</v>
      </c>
      <c r="M87" s="46">
        <f>M92+M88+M90</f>
        <v>5883.5</v>
      </c>
      <c r="N87" s="46">
        <f>N92+N88+M87</f>
        <v>15009.5</v>
      </c>
      <c r="O87" s="94"/>
      <c r="P87" s="94"/>
    </row>
    <row r="88" spans="1:17" ht="31.5" x14ac:dyDescent="0.2">
      <c r="A88" s="42"/>
      <c r="B88" s="123" t="s">
        <v>121</v>
      </c>
      <c r="C88" s="44" t="s">
        <v>122</v>
      </c>
      <c r="D88" s="45"/>
      <c r="E88" s="105"/>
      <c r="F88" s="46">
        <v>735.3</v>
      </c>
      <c r="G88" s="46"/>
      <c r="H88" s="46">
        <f>SUM(F88)</f>
        <v>735.3</v>
      </c>
      <c r="I88" s="47"/>
      <c r="J88" s="88"/>
      <c r="K88" s="47"/>
      <c r="L88" s="46">
        <f t="shared" ref="L88:N89" si="15">SUM(F88)</f>
        <v>735.3</v>
      </c>
      <c r="M88" s="46">
        <f t="shared" si="15"/>
        <v>0</v>
      </c>
      <c r="N88" s="46">
        <f t="shared" si="15"/>
        <v>735.3</v>
      </c>
      <c r="O88" s="94"/>
      <c r="P88" s="94"/>
    </row>
    <row r="89" spans="1:17" ht="31.5" x14ac:dyDescent="0.2">
      <c r="A89" s="42"/>
      <c r="B89" s="43" t="s">
        <v>35</v>
      </c>
      <c r="C89" s="44" t="s">
        <v>122</v>
      </c>
      <c r="D89" s="45" t="s">
        <v>36</v>
      </c>
      <c r="E89" s="105"/>
      <c r="F89" s="46">
        <v>735.3</v>
      </c>
      <c r="G89" s="46"/>
      <c r="H89" s="46">
        <f>SUM(F89)</f>
        <v>735.3</v>
      </c>
      <c r="I89" s="47"/>
      <c r="J89" s="88"/>
      <c r="K89" s="47"/>
      <c r="L89" s="46">
        <f t="shared" si="15"/>
        <v>735.3</v>
      </c>
      <c r="M89" s="46">
        <f t="shared" si="15"/>
        <v>0</v>
      </c>
      <c r="N89" s="46">
        <f t="shared" si="15"/>
        <v>735.3</v>
      </c>
      <c r="O89" s="94"/>
      <c r="P89" s="94"/>
    </row>
    <row r="90" spans="1:17" ht="63" x14ac:dyDescent="0.2">
      <c r="A90" s="42"/>
      <c r="B90" s="122" t="s">
        <v>450</v>
      </c>
      <c r="C90" s="44" t="s">
        <v>449</v>
      </c>
      <c r="D90" s="45"/>
      <c r="E90" s="105"/>
      <c r="F90" s="46"/>
      <c r="G90" s="46">
        <v>294.2</v>
      </c>
      <c r="H90" s="46">
        <f>SUM(G90)</f>
        <v>294.2</v>
      </c>
      <c r="I90" s="47"/>
      <c r="J90" s="88">
        <v>5589.3</v>
      </c>
      <c r="K90" s="47">
        <f>SUM(J90)</f>
        <v>5589.3</v>
      </c>
      <c r="L90" s="46"/>
      <c r="M90" s="46">
        <f>SUM(G90)+J90</f>
        <v>5883.5</v>
      </c>
      <c r="N90" s="46">
        <f>SUM(H90)+K90</f>
        <v>5883.5</v>
      </c>
      <c r="O90" s="94"/>
      <c r="P90" s="94"/>
    </row>
    <row r="91" spans="1:17" ht="31.5" x14ac:dyDescent="0.2">
      <c r="A91" s="42"/>
      <c r="B91" s="43" t="s">
        <v>35</v>
      </c>
      <c r="C91" s="44" t="s">
        <v>449</v>
      </c>
      <c r="D91" s="45" t="s">
        <v>36</v>
      </c>
      <c r="E91" s="105"/>
      <c r="F91" s="46"/>
      <c r="G91" s="46">
        <v>294.2</v>
      </c>
      <c r="H91" s="46">
        <f>SUM(G91)</f>
        <v>294.2</v>
      </c>
      <c r="I91" s="47"/>
      <c r="J91" s="88">
        <v>5589.3</v>
      </c>
      <c r="K91" s="47">
        <f>SUM(J91)</f>
        <v>5589.3</v>
      </c>
      <c r="L91" s="46"/>
      <c r="M91" s="46">
        <f>SUM(G91)+J91</f>
        <v>5883.5</v>
      </c>
      <c r="N91" s="46">
        <f>SUM(H91)+K91</f>
        <v>5883.5</v>
      </c>
      <c r="O91" s="94"/>
      <c r="P91" s="94"/>
    </row>
    <row r="92" spans="1:17" ht="36.6" customHeight="1" x14ac:dyDescent="0.2">
      <c r="A92" s="42"/>
      <c r="B92" s="43" t="s">
        <v>123</v>
      </c>
      <c r="C92" s="44" t="s">
        <v>124</v>
      </c>
      <c r="D92" s="45" t="s">
        <v>26</v>
      </c>
      <c r="E92" s="105"/>
      <c r="F92" s="46">
        <f t="shared" ref="F92:N92" si="16">F93</f>
        <v>419.6</v>
      </c>
      <c r="G92" s="46">
        <f t="shared" si="16"/>
        <v>0</v>
      </c>
      <c r="H92" s="46">
        <f t="shared" si="16"/>
        <v>419.6</v>
      </c>
      <c r="I92" s="47">
        <f t="shared" si="16"/>
        <v>7971.1</v>
      </c>
      <c r="J92" s="47">
        <f t="shared" si="16"/>
        <v>0</v>
      </c>
      <c r="K92" s="47">
        <f t="shared" si="16"/>
        <v>7971.1</v>
      </c>
      <c r="L92" s="46">
        <f t="shared" si="16"/>
        <v>8390.7000000000007</v>
      </c>
      <c r="M92" s="46">
        <f t="shared" si="16"/>
        <v>0</v>
      </c>
      <c r="N92" s="46">
        <f t="shared" si="16"/>
        <v>8390.7000000000007</v>
      </c>
      <c r="O92" s="94"/>
      <c r="P92" s="94"/>
    </row>
    <row r="93" spans="1:17" ht="31.5" x14ac:dyDescent="0.2">
      <c r="A93" s="42"/>
      <c r="B93" s="43" t="s">
        <v>35</v>
      </c>
      <c r="C93" s="44" t="s">
        <v>124</v>
      </c>
      <c r="D93" s="45" t="s">
        <v>36</v>
      </c>
      <c r="E93" s="105"/>
      <c r="F93" s="46">
        <v>419.6</v>
      </c>
      <c r="G93" s="46"/>
      <c r="H93" s="46">
        <f>419.6+G93</f>
        <v>419.6</v>
      </c>
      <c r="I93" s="47">
        <v>7971.1</v>
      </c>
      <c r="J93" s="88"/>
      <c r="K93" s="47">
        <f>7971.1+J93</f>
        <v>7971.1</v>
      </c>
      <c r="L93" s="46">
        <f>419.6+I93</f>
        <v>8390.7000000000007</v>
      </c>
      <c r="M93" s="46">
        <f>SUM(J93)</f>
        <v>0</v>
      </c>
      <c r="N93" s="46">
        <f>419.6+K93</f>
        <v>8390.7000000000007</v>
      </c>
      <c r="O93" s="94"/>
      <c r="P93" s="94"/>
    </row>
    <row r="94" spans="1:17" ht="35.450000000000003" customHeight="1" x14ac:dyDescent="0.2">
      <c r="A94" s="49"/>
      <c r="B94" s="50" t="s">
        <v>125</v>
      </c>
      <c r="C94" s="51" t="s">
        <v>126</v>
      </c>
      <c r="D94" s="52" t="s">
        <v>26</v>
      </c>
      <c r="E94" s="106"/>
      <c r="F94" s="53">
        <f t="shared" ref="F94:N94" si="17">F95+F103</f>
        <v>26211.7</v>
      </c>
      <c r="G94" s="53">
        <f>G95+G103</f>
        <v>480</v>
      </c>
      <c r="H94" s="53">
        <f>H95+H103</f>
        <v>26691.7</v>
      </c>
      <c r="I94" s="54">
        <f t="shared" si="17"/>
        <v>43692.5</v>
      </c>
      <c r="J94" s="53">
        <f t="shared" si="17"/>
        <v>0</v>
      </c>
      <c r="K94" s="54">
        <f t="shared" si="17"/>
        <v>43692.5</v>
      </c>
      <c r="L94" s="53">
        <f t="shared" si="17"/>
        <v>69904.2</v>
      </c>
      <c r="M94" s="53">
        <f t="shared" si="17"/>
        <v>480</v>
      </c>
      <c r="N94" s="53">
        <f t="shared" si="17"/>
        <v>70384.2</v>
      </c>
      <c r="O94" s="95"/>
      <c r="P94" s="95"/>
    </row>
    <row r="95" spans="1:17" ht="31.5" x14ac:dyDescent="0.2">
      <c r="A95" s="42"/>
      <c r="B95" s="43" t="s">
        <v>127</v>
      </c>
      <c r="C95" s="44" t="s">
        <v>128</v>
      </c>
      <c r="D95" s="45" t="s">
        <v>26</v>
      </c>
      <c r="E95" s="105"/>
      <c r="F95" s="47">
        <f>F96+F101+F99</f>
        <v>20101.7</v>
      </c>
      <c r="G95" s="47">
        <f t="shared" ref="G95:N95" si="18">G96+G101+G99</f>
        <v>480</v>
      </c>
      <c r="H95" s="47">
        <f t="shared" si="18"/>
        <v>20581.7</v>
      </c>
      <c r="I95" s="47">
        <f t="shared" si="18"/>
        <v>43692.5</v>
      </c>
      <c r="J95" s="47">
        <f t="shared" si="18"/>
        <v>0</v>
      </c>
      <c r="K95" s="47">
        <f t="shared" si="18"/>
        <v>43692.5</v>
      </c>
      <c r="L95" s="47">
        <f t="shared" si="18"/>
        <v>63794.2</v>
      </c>
      <c r="M95" s="47">
        <f t="shared" si="18"/>
        <v>480</v>
      </c>
      <c r="N95" s="47">
        <f t="shared" si="18"/>
        <v>64274.2</v>
      </c>
      <c r="O95" s="94"/>
      <c r="P95" s="94"/>
    </row>
    <row r="96" spans="1:17" ht="49.15" customHeight="1" x14ac:dyDescent="0.2">
      <c r="A96" s="42"/>
      <c r="B96" s="43" t="s">
        <v>129</v>
      </c>
      <c r="C96" s="44" t="s">
        <v>130</v>
      </c>
      <c r="D96" s="45" t="s">
        <v>26</v>
      </c>
      <c r="E96" s="105"/>
      <c r="F96" s="46">
        <f>F97+F98</f>
        <v>19801.7</v>
      </c>
      <c r="G96" s="46">
        <f>G97+G98</f>
        <v>480</v>
      </c>
      <c r="H96" s="46">
        <f>H97+H98</f>
        <v>20281.7</v>
      </c>
      <c r="I96" s="47">
        <f>I97+I98</f>
        <v>17036</v>
      </c>
      <c r="J96" s="88">
        <f>SUM(J97+J98)</f>
        <v>0</v>
      </c>
      <c r="K96" s="47">
        <f>K97+K98</f>
        <v>17036</v>
      </c>
      <c r="L96" s="46">
        <f>L97+L98</f>
        <v>36837.699999999997</v>
      </c>
      <c r="M96" s="46">
        <f>M97+M98</f>
        <v>480</v>
      </c>
      <c r="N96" s="46">
        <f>N97+N98</f>
        <v>37317.699999999997</v>
      </c>
      <c r="O96" s="94"/>
      <c r="P96" s="94"/>
    </row>
    <row r="97" spans="1:17" ht="31.5" x14ac:dyDescent="0.2">
      <c r="A97" s="42"/>
      <c r="B97" s="43" t="s">
        <v>35</v>
      </c>
      <c r="C97" s="44" t="s">
        <v>130</v>
      </c>
      <c r="D97" s="45" t="s">
        <v>36</v>
      </c>
      <c r="E97" s="105"/>
      <c r="F97" s="56">
        <v>19201.7</v>
      </c>
      <c r="G97" s="56"/>
      <c r="H97" s="56">
        <f>SUM(F97)</f>
        <v>19201.7</v>
      </c>
      <c r="I97" s="47">
        <v>0</v>
      </c>
      <c r="J97" s="111">
        <f>26656.5-26656.5</f>
        <v>0</v>
      </c>
      <c r="K97" s="111">
        <f>SUM(J97)</f>
        <v>0</v>
      </c>
      <c r="L97" s="56">
        <f>SUM(F97)</f>
        <v>19201.7</v>
      </c>
      <c r="M97" s="56">
        <f>SUM(J97)+G97</f>
        <v>0</v>
      </c>
      <c r="N97" s="56">
        <f>SUM(H97)</f>
        <v>19201.7</v>
      </c>
      <c r="O97" s="94"/>
      <c r="P97" s="94"/>
    </row>
    <row r="98" spans="1:17" ht="31.5" x14ac:dyDescent="0.2">
      <c r="A98" s="42"/>
      <c r="B98" s="43" t="s">
        <v>131</v>
      </c>
      <c r="C98" s="44" t="s">
        <v>130</v>
      </c>
      <c r="D98" s="45" t="s">
        <v>132</v>
      </c>
      <c r="E98" s="105"/>
      <c r="F98" s="56">
        <v>600</v>
      </c>
      <c r="G98" s="56">
        <v>480</v>
      </c>
      <c r="H98" s="56">
        <f>SUM(F98:G98)</f>
        <v>1080</v>
      </c>
      <c r="I98" s="47">
        <v>17036</v>
      </c>
      <c r="J98" s="46"/>
      <c r="K98" s="111">
        <f>SUM(I98)</f>
        <v>17036</v>
      </c>
      <c r="L98" s="56">
        <f>SUM(F98+I98)</f>
        <v>17636</v>
      </c>
      <c r="M98" s="56">
        <f>SUM(J98)+G98</f>
        <v>480</v>
      </c>
      <c r="N98" s="56">
        <f>SUM(H98+K98)</f>
        <v>18116</v>
      </c>
      <c r="O98" s="94"/>
      <c r="P98" s="94"/>
    </row>
    <row r="99" spans="1:17" ht="94.5" x14ac:dyDescent="0.2">
      <c r="A99" s="42"/>
      <c r="B99" s="43" t="s">
        <v>133</v>
      </c>
      <c r="C99" s="44" t="s">
        <v>134</v>
      </c>
      <c r="D99" s="45"/>
      <c r="E99" s="105"/>
      <c r="F99" s="132">
        <f>F100</f>
        <v>0</v>
      </c>
      <c r="G99" s="132">
        <f t="shared" ref="G99:N99" si="19">G100</f>
        <v>0</v>
      </c>
      <c r="H99" s="132">
        <f t="shared" si="19"/>
        <v>0</v>
      </c>
      <c r="I99" s="132">
        <f t="shared" si="19"/>
        <v>26656.5</v>
      </c>
      <c r="J99" s="132">
        <f t="shared" si="19"/>
        <v>0</v>
      </c>
      <c r="K99" s="132">
        <f t="shared" si="19"/>
        <v>26656.5</v>
      </c>
      <c r="L99" s="132">
        <f t="shared" si="19"/>
        <v>26656.5</v>
      </c>
      <c r="M99" s="132">
        <f t="shared" si="19"/>
        <v>0</v>
      </c>
      <c r="N99" s="132">
        <f t="shared" si="19"/>
        <v>26656.5</v>
      </c>
      <c r="O99" s="94"/>
      <c r="P99" s="94"/>
    </row>
    <row r="100" spans="1:17" ht="34.15" customHeight="1" x14ac:dyDescent="0.2">
      <c r="A100" s="42"/>
      <c r="B100" s="43" t="s">
        <v>35</v>
      </c>
      <c r="C100" s="44" t="s">
        <v>134</v>
      </c>
      <c r="D100" s="45" t="s">
        <v>36</v>
      </c>
      <c r="E100" s="105"/>
      <c r="F100" s="56"/>
      <c r="G100" s="56"/>
      <c r="H100" s="56"/>
      <c r="I100" s="47">
        <v>26656.5</v>
      </c>
      <c r="J100" s="88"/>
      <c r="K100" s="111">
        <f>SUM(I100:J100)</f>
        <v>26656.5</v>
      </c>
      <c r="L100" s="56">
        <f>F100+I100</f>
        <v>26656.5</v>
      </c>
      <c r="M100" s="56">
        <f>G100+J100</f>
        <v>0</v>
      </c>
      <c r="N100" s="56">
        <f>H100+K100</f>
        <v>26656.5</v>
      </c>
      <c r="O100" s="94"/>
      <c r="P100" s="94"/>
    </row>
    <row r="101" spans="1:17" ht="63" x14ac:dyDescent="0.2">
      <c r="A101" s="42"/>
      <c r="B101" s="43" t="s">
        <v>135</v>
      </c>
      <c r="C101" s="44" t="s">
        <v>136</v>
      </c>
      <c r="D101" s="45" t="s">
        <v>26</v>
      </c>
      <c r="E101" s="105"/>
      <c r="F101" s="46">
        <f>F102</f>
        <v>300</v>
      </c>
      <c r="G101" s="46">
        <f>G102</f>
        <v>0</v>
      </c>
      <c r="H101" s="46">
        <f>H102</f>
        <v>300</v>
      </c>
      <c r="I101" s="47">
        <f>I102</f>
        <v>0</v>
      </c>
      <c r="J101" s="88"/>
      <c r="K101" s="47">
        <f>K102</f>
        <v>0</v>
      </c>
      <c r="L101" s="46">
        <f>L102</f>
        <v>300</v>
      </c>
      <c r="M101" s="46">
        <f>M102</f>
        <v>0</v>
      </c>
      <c r="N101" s="46">
        <f>N102</f>
        <v>300</v>
      </c>
      <c r="O101" s="94"/>
      <c r="P101" s="94"/>
    </row>
    <row r="102" spans="1:17" ht="31.5" x14ac:dyDescent="0.2">
      <c r="A102" s="42"/>
      <c r="B102" s="43" t="s">
        <v>35</v>
      </c>
      <c r="C102" s="44" t="s">
        <v>136</v>
      </c>
      <c r="D102" s="45" t="s">
        <v>36</v>
      </c>
      <c r="E102" s="105"/>
      <c r="F102" s="46">
        <v>300</v>
      </c>
      <c r="G102" s="46"/>
      <c r="H102" s="46">
        <v>300</v>
      </c>
      <c r="I102" s="47">
        <v>0</v>
      </c>
      <c r="J102" s="88"/>
      <c r="K102" s="47">
        <v>0</v>
      </c>
      <c r="L102" s="46">
        <v>300</v>
      </c>
      <c r="M102" s="46"/>
      <c r="N102" s="46">
        <v>300</v>
      </c>
      <c r="O102" s="94"/>
      <c r="P102" s="94"/>
    </row>
    <row r="103" spans="1:17" ht="31.5" x14ac:dyDescent="0.2">
      <c r="A103" s="42"/>
      <c r="B103" s="43" t="s">
        <v>137</v>
      </c>
      <c r="C103" s="44" t="s">
        <v>138</v>
      </c>
      <c r="D103" s="45" t="s">
        <v>26</v>
      </c>
      <c r="E103" s="105"/>
      <c r="F103" s="46">
        <f t="shared" ref="F103:N104" si="20">F104</f>
        <v>6110</v>
      </c>
      <c r="G103" s="46">
        <f t="shared" si="20"/>
        <v>0</v>
      </c>
      <c r="H103" s="46">
        <f t="shared" si="20"/>
        <v>6110</v>
      </c>
      <c r="I103" s="47">
        <f t="shared" si="20"/>
        <v>0</v>
      </c>
      <c r="J103" s="88"/>
      <c r="K103" s="47">
        <f t="shared" si="20"/>
        <v>0</v>
      </c>
      <c r="L103" s="46">
        <f t="shared" si="20"/>
        <v>6110</v>
      </c>
      <c r="M103" s="46">
        <f t="shared" si="20"/>
        <v>0</v>
      </c>
      <c r="N103" s="46">
        <f t="shared" si="20"/>
        <v>6110</v>
      </c>
      <c r="O103" s="94"/>
      <c r="P103" s="94"/>
    </row>
    <row r="104" spans="1:17" ht="63" x14ac:dyDescent="0.2">
      <c r="A104" s="42"/>
      <c r="B104" s="43" t="s">
        <v>135</v>
      </c>
      <c r="C104" s="44" t="s">
        <v>139</v>
      </c>
      <c r="D104" s="45" t="s">
        <v>26</v>
      </c>
      <c r="E104" s="105"/>
      <c r="F104" s="46">
        <f t="shared" si="20"/>
        <v>6110</v>
      </c>
      <c r="G104" s="46">
        <f t="shared" si="20"/>
        <v>0</v>
      </c>
      <c r="H104" s="46">
        <f t="shared" si="20"/>
        <v>6110</v>
      </c>
      <c r="I104" s="47">
        <f t="shared" si="20"/>
        <v>0</v>
      </c>
      <c r="J104" s="88"/>
      <c r="K104" s="47">
        <f t="shared" si="20"/>
        <v>0</v>
      </c>
      <c r="L104" s="46">
        <f t="shared" si="20"/>
        <v>6110</v>
      </c>
      <c r="M104" s="46">
        <f t="shared" si="20"/>
        <v>0</v>
      </c>
      <c r="N104" s="46">
        <f t="shared" si="20"/>
        <v>6110</v>
      </c>
      <c r="O104" s="94"/>
      <c r="P104" s="94"/>
    </row>
    <row r="105" spans="1:17" ht="31.5" x14ac:dyDescent="0.2">
      <c r="A105" s="42"/>
      <c r="B105" s="43" t="s">
        <v>35</v>
      </c>
      <c r="C105" s="44" t="s">
        <v>139</v>
      </c>
      <c r="D105" s="45" t="s">
        <v>36</v>
      </c>
      <c r="E105" s="105"/>
      <c r="F105" s="56">
        <f>4810+1300</f>
        <v>6110</v>
      </c>
      <c r="G105" s="56"/>
      <c r="H105" s="56">
        <f>4810+1300</f>
        <v>6110</v>
      </c>
      <c r="I105" s="47">
        <v>0</v>
      </c>
      <c r="J105" s="111"/>
      <c r="K105" s="47">
        <v>0</v>
      </c>
      <c r="L105" s="56">
        <f>4810+1300</f>
        <v>6110</v>
      </c>
      <c r="M105" s="56"/>
      <c r="N105" s="56">
        <f>4810+1300</f>
        <v>6110</v>
      </c>
      <c r="O105" s="94"/>
      <c r="P105" s="94"/>
    </row>
    <row r="106" spans="1:17" ht="15.75" x14ac:dyDescent="0.2">
      <c r="A106" s="49"/>
      <c r="B106" s="50" t="s">
        <v>140</v>
      </c>
      <c r="C106" s="51" t="s">
        <v>141</v>
      </c>
      <c r="D106" s="52" t="s">
        <v>26</v>
      </c>
      <c r="E106" s="106"/>
      <c r="F106" s="53">
        <f>F107+F114+F111+F117</f>
        <v>16102</v>
      </c>
      <c r="G106" s="53">
        <f>G107+G114+G111+G117</f>
        <v>0</v>
      </c>
      <c r="H106" s="53">
        <f>H107+H114+H111+H117</f>
        <v>16102</v>
      </c>
      <c r="I106" s="54">
        <f>I107+I114</f>
        <v>0</v>
      </c>
      <c r="J106" s="53">
        <f>J107+J114</f>
        <v>0</v>
      </c>
      <c r="K106" s="54">
        <f>K107+K114</f>
        <v>0</v>
      </c>
      <c r="L106" s="53">
        <f>L107+L114+L111+L117</f>
        <v>16102</v>
      </c>
      <c r="M106" s="53">
        <f>M107+M114+M111+M117</f>
        <v>0</v>
      </c>
      <c r="N106" s="53">
        <f>N107+N114+N111+N117</f>
        <v>16102</v>
      </c>
      <c r="O106" s="95"/>
      <c r="P106" s="95"/>
      <c r="Q106" s="55"/>
    </row>
    <row r="107" spans="1:17" ht="47.25" x14ac:dyDescent="0.2">
      <c r="A107" s="42"/>
      <c r="B107" s="43" t="s">
        <v>142</v>
      </c>
      <c r="C107" s="44" t="s">
        <v>143</v>
      </c>
      <c r="D107" s="45" t="s">
        <v>26</v>
      </c>
      <c r="E107" s="105"/>
      <c r="F107" s="46">
        <f>F108</f>
        <v>8158.5999999999995</v>
      </c>
      <c r="G107" s="46">
        <f>G108</f>
        <v>0</v>
      </c>
      <c r="H107" s="46">
        <f>H108</f>
        <v>8158.5999999999995</v>
      </c>
      <c r="I107" s="47">
        <f>I108</f>
        <v>0</v>
      </c>
      <c r="J107" s="88"/>
      <c r="K107" s="47">
        <f>K108</f>
        <v>0</v>
      </c>
      <c r="L107" s="46">
        <f>L108</f>
        <v>8158.5999999999995</v>
      </c>
      <c r="M107" s="46">
        <f>M108</f>
        <v>0</v>
      </c>
      <c r="N107" s="46">
        <f>N108</f>
        <v>8158.5999999999995</v>
      </c>
      <c r="O107" s="94"/>
      <c r="P107" s="94"/>
    </row>
    <row r="108" spans="1:17" ht="31.5" x14ac:dyDescent="0.2">
      <c r="A108" s="42"/>
      <c r="B108" s="43" t="s">
        <v>39</v>
      </c>
      <c r="C108" s="44" t="s">
        <v>144</v>
      </c>
      <c r="D108" s="45" t="s">
        <v>26</v>
      </c>
      <c r="E108" s="105"/>
      <c r="F108" s="46">
        <f>F109+F110</f>
        <v>8158.5999999999995</v>
      </c>
      <c r="G108" s="46">
        <f>G109+G110</f>
        <v>0</v>
      </c>
      <c r="H108" s="46">
        <f>H109+H110</f>
        <v>8158.5999999999995</v>
      </c>
      <c r="I108" s="47">
        <f>I109+I110</f>
        <v>0</v>
      </c>
      <c r="J108" s="88"/>
      <c r="K108" s="47">
        <f>K109+K110</f>
        <v>0</v>
      </c>
      <c r="L108" s="46">
        <f>L109+L110</f>
        <v>8158.5999999999995</v>
      </c>
      <c r="M108" s="46">
        <f>M109+M110</f>
        <v>0</v>
      </c>
      <c r="N108" s="46">
        <f>N109+N110</f>
        <v>8158.5999999999995</v>
      </c>
      <c r="O108" s="94"/>
      <c r="P108" s="94"/>
    </row>
    <row r="109" spans="1:17" ht="64.900000000000006" customHeight="1" x14ac:dyDescent="0.2">
      <c r="A109" s="42"/>
      <c r="B109" s="43" t="s">
        <v>31</v>
      </c>
      <c r="C109" s="44" t="s">
        <v>144</v>
      </c>
      <c r="D109" s="45" t="s">
        <v>32</v>
      </c>
      <c r="E109" s="105"/>
      <c r="F109" s="46">
        <v>7905.2</v>
      </c>
      <c r="G109" s="46"/>
      <c r="H109" s="46">
        <v>7905.2</v>
      </c>
      <c r="I109" s="47">
        <v>0</v>
      </c>
      <c r="J109" s="88"/>
      <c r="K109" s="47">
        <v>0</v>
      </c>
      <c r="L109" s="46">
        <v>7905.2</v>
      </c>
      <c r="M109" s="46"/>
      <c r="N109" s="46">
        <v>7905.2</v>
      </c>
      <c r="O109" s="94"/>
      <c r="P109" s="94"/>
    </row>
    <row r="110" spans="1:17" ht="31.5" x14ac:dyDescent="0.2">
      <c r="A110" s="42"/>
      <c r="B110" s="43" t="s">
        <v>35</v>
      </c>
      <c r="C110" s="44" t="s">
        <v>144</v>
      </c>
      <c r="D110" s="45" t="s">
        <v>36</v>
      </c>
      <c r="E110" s="105"/>
      <c r="F110" s="46">
        <v>253.4</v>
      </c>
      <c r="G110" s="46"/>
      <c r="H110" s="46">
        <f>SUM(F110)</f>
        <v>253.4</v>
      </c>
      <c r="I110" s="47">
        <v>0</v>
      </c>
      <c r="J110" s="88"/>
      <c r="K110" s="47">
        <v>0</v>
      </c>
      <c r="L110" s="46">
        <f t="shared" ref="L110:N113" si="21">SUM(F110)</f>
        <v>253.4</v>
      </c>
      <c r="M110" s="46">
        <f t="shared" si="21"/>
        <v>0</v>
      </c>
      <c r="N110" s="46">
        <f t="shared" si="21"/>
        <v>253.4</v>
      </c>
      <c r="O110" s="94"/>
      <c r="P110" s="94"/>
    </row>
    <row r="111" spans="1:17" ht="15.75" x14ac:dyDescent="0.2">
      <c r="A111" s="42"/>
      <c r="B111" s="43" t="s">
        <v>145</v>
      </c>
      <c r="C111" s="44" t="s">
        <v>146</v>
      </c>
      <c r="D111" s="45"/>
      <c r="E111" s="105"/>
      <c r="F111" s="46">
        <f>SUM(F113)</f>
        <v>600</v>
      </c>
      <c r="G111" s="46"/>
      <c r="H111" s="46">
        <f>SUM(H113)</f>
        <v>600</v>
      </c>
      <c r="I111" s="47"/>
      <c r="J111" s="88"/>
      <c r="K111" s="47"/>
      <c r="L111" s="46">
        <f t="shared" si="21"/>
        <v>600</v>
      </c>
      <c r="M111" s="46">
        <f t="shared" si="21"/>
        <v>0</v>
      </c>
      <c r="N111" s="46">
        <f t="shared" si="21"/>
        <v>600</v>
      </c>
      <c r="O111" s="94"/>
      <c r="P111" s="94"/>
    </row>
    <row r="112" spans="1:17" ht="15.75" x14ac:dyDescent="0.2">
      <c r="A112" s="42"/>
      <c r="B112" s="43" t="s">
        <v>147</v>
      </c>
      <c r="C112" s="44" t="s">
        <v>148</v>
      </c>
      <c r="D112" s="45"/>
      <c r="E112" s="105"/>
      <c r="F112" s="46">
        <v>600</v>
      </c>
      <c r="G112" s="46"/>
      <c r="H112" s="46">
        <f>SUM(F112)</f>
        <v>600</v>
      </c>
      <c r="I112" s="47"/>
      <c r="J112" s="88"/>
      <c r="K112" s="47"/>
      <c r="L112" s="46">
        <f t="shared" si="21"/>
        <v>600</v>
      </c>
      <c r="M112" s="46">
        <f t="shared" si="21"/>
        <v>0</v>
      </c>
      <c r="N112" s="46">
        <f t="shared" si="21"/>
        <v>600</v>
      </c>
      <c r="O112" s="94"/>
      <c r="P112" s="94"/>
    </row>
    <row r="113" spans="1:17" ht="31.5" x14ac:dyDescent="0.2">
      <c r="A113" s="42"/>
      <c r="B113" s="43" t="s">
        <v>35</v>
      </c>
      <c r="C113" s="44" t="s">
        <v>148</v>
      </c>
      <c r="D113" s="45" t="s">
        <v>36</v>
      </c>
      <c r="E113" s="105"/>
      <c r="F113" s="46">
        <v>600</v>
      </c>
      <c r="G113" s="46"/>
      <c r="H113" s="46">
        <f>SUM(F113)</f>
        <v>600</v>
      </c>
      <c r="I113" s="47"/>
      <c r="J113" s="88"/>
      <c r="K113" s="47"/>
      <c r="L113" s="46">
        <f t="shared" si="21"/>
        <v>600</v>
      </c>
      <c r="M113" s="46">
        <f t="shared" si="21"/>
        <v>0</v>
      </c>
      <c r="N113" s="46">
        <f t="shared" si="21"/>
        <v>600</v>
      </c>
      <c r="O113" s="94"/>
      <c r="P113" s="94"/>
    </row>
    <row r="114" spans="1:17" ht="47.25" x14ac:dyDescent="0.2">
      <c r="A114" s="42"/>
      <c r="B114" s="43" t="s">
        <v>149</v>
      </c>
      <c r="C114" s="44" t="s">
        <v>150</v>
      </c>
      <c r="D114" s="45" t="s">
        <v>26</v>
      </c>
      <c r="E114" s="105"/>
      <c r="F114" s="46">
        <f t="shared" ref="F114:N115" si="22">F115</f>
        <v>6273.4</v>
      </c>
      <c r="G114" s="46">
        <f t="shared" si="22"/>
        <v>0</v>
      </c>
      <c r="H114" s="46">
        <f t="shared" si="22"/>
        <v>6273.4</v>
      </c>
      <c r="I114" s="47">
        <f t="shared" si="22"/>
        <v>0</v>
      </c>
      <c r="J114" s="88"/>
      <c r="K114" s="47">
        <f t="shared" si="22"/>
        <v>0</v>
      </c>
      <c r="L114" s="46">
        <f t="shared" si="22"/>
        <v>6273.4</v>
      </c>
      <c r="M114" s="46">
        <f t="shared" si="22"/>
        <v>0</v>
      </c>
      <c r="N114" s="46">
        <f t="shared" si="22"/>
        <v>6273.4</v>
      </c>
      <c r="O114" s="94"/>
      <c r="P114" s="94"/>
    </row>
    <row r="115" spans="1:17" ht="31.5" x14ac:dyDescent="0.2">
      <c r="A115" s="42"/>
      <c r="B115" s="43" t="s">
        <v>39</v>
      </c>
      <c r="C115" s="44" t="s">
        <v>151</v>
      </c>
      <c r="D115" s="45" t="s">
        <v>26</v>
      </c>
      <c r="E115" s="105"/>
      <c r="F115" s="46">
        <f t="shared" si="22"/>
        <v>6273.4</v>
      </c>
      <c r="G115" s="46">
        <f t="shared" si="22"/>
        <v>0</v>
      </c>
      <c r="H115" s="46">
        <f t="shared" si="22"/>
        <v>6273.4</v>
      </c>
      <c r="I115" s="47">
        <f t="shared" si="22"/>
        <v>0</v>
      </c>
      <c r="J115" s="88"/>
      <c r="K115" s="47">
        <f t="shared" si="22"/>
        <v>0</v>
      </c>
      <c r="L115" s="46">
        <f t="shared" si="22"/>
        <v>6273.4</v>
      </c>
      <c r="M115" s="46">
        <f t="shared" si="22"/>
        <v>0</v>
      </c>
      <c r="N115" s="46">
        <f t="shared" si="22"/>
        <v>6273.4</v>
      </c>
      <c r="O115" s="94"/>
      <c r="P115" s="94"/>
    </row>
    <row r="116" spans="1:17" ht="31.5" x14ac:dyDescent="0.2">
      <c r="A116" s="42"/>
      <c r="B116" s="43" t="s">
        <v>74</v>
      </c>
      <c r="C116" s="44" t="s">
        <v>151</v>
      </c>
      <c r="D116" s="45" t="s">
        <v>75</v>
      </c>
      <c r="E116" s="105"/>
      <c r="F116" s="46">
        <v>6273.4</v>
      </c>
      <c r="G116" s="46"/>
      <c r="H116" s="46">
        <v>6273.4</v>
      </c>
      <c r="I116" s="47">
        <v>0</v>
      </c>
      <c r="J116" s="88"/>
      <c r="K116" s="47">
        <v>0</v>
      </c>
      <c r="L116" s="46">
        <v>6273.4</v>
      </c>
      <c r="M116" s="46"/>
      <c r="N116" s="46">
        <v>6273.4</v>
      </c>
      <c r="O116" s="94"/>
      <c r="P116" s="94"/>
    </row>
    <row r="117" spans="1:17" ht="31.5" x14ac:dyDescent="0.2">
      <c r="A117" s="42"/>
      <c r="B117" s="128" t="s">
        <v>152</v>
      </c>
      <c r="C117" s="44" t="s">
        <v>153</v>
      </c>
      <c r="D117" s="45"/>
      <c r="E117" s="105"/>
      <c r="F117" s="46">
        <f>SUM(F120)</f>
        <v>1070</v>
      </c>
      <c r="G117" s="46">
        <f>SUM(G120)+G119</f>
        <v>0</v>
      </c>
      <c r="H117" s="46">
        <f>SUM(F117)</f>
        <v>1070</v>
      </c>
      <c r="I117" s="47"/>
      <c r="J117" s="88"/>
      <c r="K117" s="47"/>
      <c r="L117" s="46">
        <f>SUM(F118)</f>
        <v>1070</v>
      </c>
      <c r="M117" s="46">
        <f t="shared" ref="M117:N120" si="23">SUM(G117)</f>
        <v>0</v>
      </c>
      <c r="N117" s="46">
        <f t="shared" si="23"/>
        <v>1070</v>
      </c>
      <c r="O117" s="94"/>
      <c r="P117" s="94"/>
    </row>
    <row r="118" spans="1:17" ht="31.5" x14ac:dyDescent="0.2">
      <c r="A118" s="42"/>
      <c r="B118" s="43" t="s">
        <v>154</v>
      </c>
      <c r="C118" s="44" t="s">
        <v>155</v>
      </c>
      <c r="D118" s="45"/>
      <c r="E118" s="105"/>
      <c r="F118" s="136">
        <v>1070</v>
      </c>
      <c r="G118" s="46"/>
      <c r="H118" s="46">
        <f>SUM(F118)</f>
        <v>1070</v>
      </c>
      <c r="I118" s="47"/>
      <c r="J118" s="88"/>
      <c r="K118" s="47"/>
      <c r="L118" s="136">
        <v>1070</v>
      </c>
      <c r="M118" s="46">
        <f t="shared" si="23"/>
        <v>0</v>
      </c>
      <c r="N118" s="46">
        <f t="shared" si="23"/>
        <v>1070</v>
      </c>
      <c r="O118" s="94"/>
      <c r="P118" s="94"/>
    </row>
    <row r="119" spans="1:17" ht="31.5" x14ac:dyDescent="0.2">
      <c r="A119" s="42"/>
      <c r="B119" s="43" t="s">
        <v>35</v>
      </c>
      <c r="C119" s="44" t="s">
        <v>155</v>
      </c>
      <c r="D119" s="45" t="s">
        <v>36</v>
      </c>
      <c r="E119" s="105"/>
      <c r="F119" s="136"/>
      <c r="G119" s="46">
        <v>151.30000000000001</v>
      </c>
      <c r="H119" s="46">
        <f>SUM(G119)</f>
        <v>151.30000000000001</v>
      </c>
      <c r="I119" s="47"/>
      <c r="J119" s="88"/>
      <c r="K119" s="47"/>
      <c r="L119" s="136"/>
      <c r="M119" s="46">
        <f>SUM(G119)</f>
        <v>151.30000000000001</v>
      </c>
      <c r="N119" s="46">
        <f>SUM(M119)</f>
        <v>151.30000000000001</v>
      </c>
      <c r="O119" s="94"/>
      <c r="P119" s="94"/>
    </row>
    <row r="120" spans="1:17" ht="31.5" x14ac:dyDescent="0.2">
      <c r="A120" s="42"/>
      <c r="B120" s="43" t="s">
        <v>131</v>
      </c>
      <c r="C120" s="44" t="s">
        <v>155</v>
      </c>
      <c r="D120" s="45" t="s">
        <v>132</v>
      </c>
      <c r="E120" s="105"/>
      <c r="F120" s="46">
        <v>1070</v>
      </c>
      <c r="G120" s="46">
        <v>-151.30000000000001</v>
      </c>
      <c r="H120" s="46">
        <f>SUM(F120)+G120</f>
        <v>918.7</v>
      </c>
      <c r="I120" s="47"/>
      <c r="J120" s="88"/>
      <c r="K120" s="47"/>
      <c r="L120" s="46">
        <f>SUM(F120)</f>
        <v>1070</v>
      </c>
      <c r="M120" s="46">
        <f t="shared" si="23"/>
        <v>-151.30000000000001</v>
      </c>
      <c r="N120" s="46">
        <f t="shared" si="23"/>
        <v>918.7</v>
      </c>
      <c r="O120" s="94"/>
      <c r="P120" s="94"/>
    </row>
    <row r="121" spans="1:17" ht="31.5" x14ac:dyDescent="0.2">
      <c r="A121" s="19" t="s">
        <v>156</v>
      </c>
      <c r="B121" s="20" t="s">
        <v>157</v>
      </c>
      <c r="C121" s="21" t="s">
        <v>158</v>
      </c>
      <c r="D121" s="22" t="s">
        <v>26</v>
      </c>
      <c r="E121" s="104"/>
      <c r="F121" s="23">
        <f t="shared" ref="F121:N121" si="24">F122+F126+F137+F155+F161</f>
        <v>210810</v>
      </c>
      <c r="G121" s="23">
        <f t="shared" si="24"/>
        <v>10066.4</v>
      </c>
      <c r="H121" s="23">
        <f t="shared" si="24"/>
        <v>220876.4</v>
      </c>
      <c r="I121" s="24">
        <f t="shared" si="24"/>
        <v>2304643.0000000005</v>
      </c>
      <c r="J121" s="23">
        <f t="shared" si="24"/>
        <v>1260</v>
      </c>
      <c r="K121" s="24">
        <f t="shared" si="24"/>
        <v>2305903.0000000005</v>
      </c>
      <c r="L121" s="23">
        <f t="shared" si="24"/>
        <v>2515453</v>
      </c>
      <c r="M121" s="23">
        <f t="shared" si="24"/>
        <v>11326.4</v>
      </c>
      <c r="N121" s="23">
        <f t="shared" si="24"/>
        <v>2526779.4</v>
      </c>
      <c r="O121" s="93"/>
      <c r="P121" s="93"/>
      <c r="Q121" s="25"/>
    </row>
    <row r="122" spans="1:17" ht="20.45" customHeight="1" x14ac:dyDescent="0.2">
      <c r="A122" s="49"/>
      <c r="B122" s="50" t="s">
        <v>159</v>
      </c>
      <c r="C122" s="51" t="s">
        <v>160</v>
      </c>
      <c r="D122" s="52" t="s">
        <v>26</v>
      </c>
      <c r="E122" s="106"/>
      <c r="F122" s="53">
        <f t="shared" ref="F122:K124" si="25">F123</f>
        <v>2930.2</v>
      </c>
      <c r="G122" s="53">
        <f t="shared" si="25"/>
        <v>0</v>
      </c>
      <c r="H122" s="53">
        <f t="shared" si="25"/>
        <v>2930.2</v>
      </c>
      <c r="I122" s="54">
        <f t="shared" si="25"/>
        <v>3074.2</v>
      </c>
      <c r="J122" s="87"/>
      <c r="K122" s="54">
        <f t="shared" si="25"/>
        <v>3074.2</v>
      </c>
      <c r="L122" s="53">
        <f>L123</f>
        <v>6004.4</v>
      </c>
      <c r="M122" s="53">
        <f t="shared" ref="L122:N124" si="26">M123</f>
        <v>0</v>
      </c>
      <c r="N122" s="53">
        <f t="shared" si="26"/>
        <v>6004.4</v>
      </c>
      <c r="O122" s="95"/>
      <c r="P122" s="95"/>
    </row>
    <row r="123" spans="1:17" ht="31.5" x14ac:dyDescent="0.2">
      <c r="A123" s="42"/>
      <c r="B123" s="43" t="s">
        <v>161</v>
      </c>
      <c r="C123" s="44" t="s">
        <v>162</v>
      </c>
      <c r="D123" s="45" t="s">
        <v>26</v>
      </c>
      <c r="E123" s="105"/>
      <c r="F123" s="46">
        <f t="shared" si="25"/>
        <v>2930.2</v>
      </c>
      <c r="G123" s="46">
        <f t="shared" si="25"/>
        <v>0</v>
      </c>
      <c r="H123" s="46">
        <f t="shared" si="25"/>
        <v>2930.2</v>
      </c>
      <c r="I123" s="47">
        <f t="shared" si="25"/>
        <v>3074.2</v>
      </c>
      <c r="J123" s="88"/>
      <c r="K123" s="47">
        <f t="shared" si="25"/>
        <v>3074.2</v>
      </c>
      <c r="L123" s="46">
        <f t="shared" si="26"/>
        <v>6004.4</v>
      </c>
      <c r="M123" s="46">
        <f t="shared" si="26"/>
        <v>0</v>
      </c>
      <c r="N123" s="46">
        <f t="shared" si="26"/>
        <v>6004.4</v>
      </c>
      <c r="O123" s="94"/>
      <c r="P123" s="94"/>
    </row>
    <row r="124" spans="1:17" ht="24" customHeight="1" x14ac:dyDescent="0.2">
      <c r="A124" s="42"/>
      <c r="B124" s="43" t="s">
        <v>163</v>
      </c>
      <c r="C124" s="44" t="s">
        <v>164</v>
      </c>
      <c r="D124" s="45" t="s">
        <v>26</v>
      </c>
      <c r="E124" s="105"/>
      <c r="F124" s="46">
        <f t="shared" si="25"/>
        <v>2930.2</v>
      </c>
      <c r="G124" s="46">
        <f t="shared" si="25"/>
        <v>0</v>
      </c>
      <c r="H124" s="46">
        <f t="shared" si="25"/>
        <v>2930.2</v>
      </c>
      <c r="I124" s="47">
        <f t="shared" si="25"/>
        <v>3074.2</v>
      </c>
      <c r="J124" s="88"/>
      <c r="K124" s="47">
        <f t="shared" si="25"/>
        <v>3074.2</v>
      </c>
      <c r="L124" s="46">
        <f t="shared" si="26"/>
        <v>6004.4</v>
      </c>
      <c r="M124" s="46">
        <f t="shared" si="26"/>
        <v>0</v>
      </c>
      <c r="N124" s="46">
        <f t="shared" si="26"/>
        <v>6004.4</v>
      </c>
      <c r="O124" s="94"/>
      <c r="P124" s="94"/>
    </row>
    <row r="125" spans="1:17" ht="15.75" x14ac:dyDescent="0.2">
      <c r="A125" s="42"/>
      <c r="B125" s="43" t="s">
        <v>54</v>
      </c>
      <c r="C125" s="44" t="s">
        <v>164</v>
      </c>
      <c r="D125" s="45" t="s">
        <v>55</v>
      </c>
      <c r="E125" s="105"/>
      <c r="F125" s="46">
        <v>2930.2</v>
      </c>
      <c r="G125" s="46"/>
      <c r="H125" s="46">
        <v>2930.2</v>
      </c>
      <c r="I125" s="47">
        <v>3074.2</v>
      </c>
      <c r="J125" s="88"/>
      <c r="K125" s="47">
        <v>3074.2</v>
      </c>
      <c r="L125" s="46">
        <f>2930.2+I125</f>
        <v>6004.4</v>
      </c>
      <c r="M125" s="46"/>
      <c r="N125" s="46">
        <f>2930.2+K125</f>
        <v>6004.4</v>
      </c>
      <c r="O125" s="94"/>
      <c r="P125" s="94"/>
    </row>
    <row r="126" spans="1:17" ht="31.5" x14ac:dyDescent="0.2">
      <c r="A126" s="49"/>
      <c r="B126" s="50" t="s">
        <v>165</v>
      </c>
      <c r="C126" s="51" t="s">
        <v>166</v>
      </c>
      <c r="D126" s="52" t="s">
        <v>26</v>
      </c>
      <c r="E126" s="106"/>
      <c r="F126" s="53">
        <f t="shared" ref="F126:N126" si="27">F127</f>
        <v>14792.9</v>
      </c>
      <c r="G126" s="53">
        <f t="shared" si="27"/>
        <v>0</v>
      </c>
      <c r="H126" s="53">
        <f t="shared" si="27"/>
        <v>14792.9</v>
      </c>
      <c r="I126" s="54">
        <f t="shared" si="27"/>
        <v>2301493.8000000003</v>
      </c>
      <c r="J126" s="53">
        <f t="shared" si="27"/>
        <v>0</v>
      </c>
      <c r="K126" s="54">
        <f t="shared" si="27"/>
        <v>2301493.8000000003</v>
      </c>
      <c r="L126" s="53">
        <f t="shared" si="27"/>
        <v>2316286.7000000002</v>
      </c>
      <c r="M126" s="53">
        <f t="shared" si="27"/>
        <v>0</v>
      </c>
      <c r="N126" s="53">
        <f t="shared" si="27"/>
        <v>2316286.7000000002</v>
      </c>
      <c r="O126" s="95"/>
      <c r="P126" s="95"/>
      <c r="Q126" s="55"/>
    </row>
    <row r="127" spans="1:17" ht="39.6" customHeight="1" x14ac:dyDescent="0.2">
      <c r="A127" s="42"/>
      <c r="B127" s="43" t="s">
        <v>167</v>
      </c>
      <c r="C127" s="44" t="s">
        <v>168</v>
      </c>
      <c r="D127" s="45" t="s">
        <v>26</v>
      </c>
      <c r="E127" s="105"/>
      <c r="F127" s="46">
        <f>F128+F131+F133+F135</f>
        <v>14792.9</v>
      </c>
      <c r="G127" s="46">
        <f t="shared" ref="G127:N127" si="28">G128+G131+G133+G135</f>
        <v>0</v>
      </c>
      <c r="H127" s="46">
        <f>H128+H131+H133+H135</f>
        <v>14792.9</v>
      </c>
      <c r="I127" s="47">
        <f t="shared" si="28"/>
        <v>2301493.8000000003</v>
      </c>
      <c r="J127" s="46">
        <f t="shared" si="28"/>
        <v>0</v>
      </c>
      <c r="K127" s="47">
        <f t="shared" si="28"/>
        <v>2301493.8000000003</v>
      </c>
      <c r="L127" s="46">
        <f t="shared" si="28"/>
        <v>2316286.7000000002</v>
      </c>
      <c r="M127" s="46">
        <f t="shared" si="28"/>
        <v>0</v>
      </c>
      <c r="N127" s="46">
        <f t="shared" si="28"/>
        <v>2316286.7000000002</v>
      </c>
      <c r="O127" s="94"/>
      <c r="P127" s="94"/>
      <c r="Q127" s="48"/>
    </row>
    <row r="128" spans="1:17" ht="15.75" x14ac:dyDescent="0.2">
      <c r="A128" s="42"/>
      <c r="B128" s="43" t="s">
        <v>169</v>
      </c>
      <c r="C128" s="44" t="s">
        <v>170</v>
      </c>
      <c r="D128" s="45" t="s">
        <v>26</v>
      </c>
      <c r="E128" s="105"/>
      <c r="F128" s="46">
        <f>F129+F130</f>
        <v>1750.4</v>
      </c>
      <c r="G128" s="46">
        <f>G129+G130</f>
        <v>0</v>
      </c>
      <c r="H128" s="46">
        <f>H129+H130</f>
        <v>1750.4</v>
      </c>
      <c r="I128" s="47">
        <f>I129</f>
        <v>1529.5</v>
      </c>
      <c r="J128" s="46">
        <f>J129</f>
        <v>0</v>
      </c>
      <c r="K128" s="47">
        <f>K129</f>
        <v>1529.5</v>
      </c>
      <c r="L128" s="46">
        <f>L129+F128</f>
        <v>3279.9</v>
      </c>
      <c r="M128" s="46">
        <f>M129+M130</f>
        <v>0</v>
      </c>
      <c r="N128" s="46">
        <f>N129+N130</f>
        <v>3279.9</v>
      </c>
      <c r="O128" s="94"/>
      <c r="P128" s="94"/>
    </row>
    <row r="129" spans="1:17" ht="31.5" x14ac:dyDescent="0.2">
      <c r="A129" s="42"/>
      <c r="B129" s="43" t="s">
        <v>35</v>
      </c>
      <c r="C129" s="44" t="s">
        <v>170</v>
      </c>
      <c r="D129" s="45" t="s">
        <v>36</v>
      </c>
      <c r="E129" s="105"/>
      <c r="F129" s="46">
        <v>0</v>
      </c>
      <c r="G129" s="46"/>
      <c r="H129" s="46">
        <f>SUM(F129+G129)</f>
        <v>0</v>
      </c>
      <c r="I129" s="47">
        <v>1529.5</v>
      </c>
      <c r="J129" s="88"/>
      <c r="K129" s="88">
        <f>SUM(I129)</f>
        <v>1529.5</v>
      </c>
      <c r="L129" s="46">
        <f>SUM(I129)</f>
        <v>1529.5</v>
      </c>
      <c r="M129" s="46">
        <f>SUM(G129+J129)</f>
        <v>0</v>
      </c>
      <c r="N129" s="46">
        <f>SUM(K129)</f>
        <v>1529.5</v>
      </c>
      <c r="O129" s="94"/>
      <c r="P129" s="94"/>
    </row>
    <row r="130" spans="1:17" ht="31.5" x14ac:dyDescent="0.2">
      <c r="A130" s="42"/>
      <c r="B130" s="43" t="s">
        <v>131</v>
      </c>
      <c r="C130" s="44" t="s">
        <v>170</v>
      </c>
      <c r="D130" s="45" t="s">
        <v>132</v>
      </c>
      <c r="E130" s="105"/>
      <c r="F130" s="46">
        <v>1750.4</v>
      </c>
      <c r="G130" s="46"/>
      <c r="H130" s="46">
        <f>SUM(F130)</f>
        <v>1750.4</v>
      </c>
      <c r="I130" s="47"/>
      <c r="J130" s="88"/>
      <c r="K130" s="88"/>
      <c r="L130" s="46">
        <f>SUM(F130)</f>
        <v>1750.4</v>
      </c>
      <c r="M130" s="46">
        <f>SUM(G130)</f>
        <v>0</v>
      </c>
      <c r="N130" s="46">
        <f>SUM(H130)</f>
        <v>1750.4</v>
      </c>
      <c r="O130" s="94"/>
      <c r="P130" s="94"/>
    </row>
    <row r="131" spans="1:17" ht="20.45" customHeight="1" x14ac:dyDescent="0.2">
      <c r="A131" s="42"/>
      <c r="B131" s="43" t="s">
        <v>171</v>
      </c>
      <c r="C131" s="44" t="s">
        <v>172</v>
      </c>
      <c r="D131" s="45" t="s">
        <v>26</v>
      </c>
      <c r="E131" s="105"/>
      <c r="F131" s="46">
        <f>F132</f>
        <v>11457.5</v>
      </c>
      <c r="G131" s="46">
        <f>G132</f>
        <v>0</v>
      </c>
      <c r="H131" s="46">
        <f>H132</f>
        <v>11457.5</v>
      </c>
      <c r="I131" s="47">
        <f>I132</f>
        <v>2280029.1</v>
      </c>
      <c r="J131" s="88"/>
      <c r="K131" s="47">
        <f>K132</f>
        <v>2280029.1</v>
      </c>
      <c r="L131" s="46">
        <f>L132</f>
        <v>2291486.6</v>
      </c>
      <c r="M131" s="46">
        <f>M132</f>
        <v>0</v>
      </c>
      <c r="N131" s="46">
        <f>N132</f>
        <v>2291486.6</v>
      </c>
      <c r="O131" s="94"/>
      <c r="P131" s="94"/>
    </row>
    <row r="132" spans="1:17" ht="31.5" x14ac:dyDescent="0.2">
      <c r="A132" s="42"/>
      <c r="B132" s="43" t="s">
        <v>131</v>
      </c>
      <c r="C132" s="44" t="s">
        <v>172</v>
      </c>
      <c r="D132" s="45" t="s">
        <v>132</v>
      </c>
      <c r="E132" s="105"/>
      <c r="F132" s="46">
        <v>11457.5</v>
      </c>
      <c r="G132" s="46"/>
      <c r="H132" s="46">
        <v>11457.5</v>
      </c>
      <c r="I132" s="47">
        <v>2280029.1</v>
      </c>
      <c r="J132" s="88"/>
      <c r="K132" s="47">
        <v>2280029.1</v>
      </c>
      <c r="L132" s="46">
        <f>11457.5+I132</f>
        <v>2291486.6</v>
      </c>
      <c r="M132" s="46"/>
      <c r="N132" s="46">
        <f>11457.5+K132</f>
        <v>2291486.6</v>
      </c>
      <c r="O132" s="94"/>
      <c r="P132" s="94"/>
    </row>
    <row r="133" spans="1:17" ht="15.75" x14ac:dyDescent="0.2">
      <c r="A133" s="42"/>
      <c r="B133" s="43" t="s">
        <v>173</v>
      </c>
      <c r="C133" s="44" t="s">
        <v>174</v>
      </c>
      <c r="D133" s="45" t="s">
        <v>26</v>
      </c>
      <c r="E133" s="105"/>
      <c r="F133" s="46">
        <f>F134</f>
        <v>386.1</v>
      </c>
      <c r="G133" s="46">
        <f>G134</f>
        <v>0</v>
      </c>
      <c r="H133" s="46">
        <f>H134</f>
        <v>386.1</v>
      </c>
      <c r="I133" s="47">
        <f>I134</f>
        <v>7335.5</v>
      </c>
      <c r="J133" s="88"/>
      <c r="K133" s="47">
        <f>K134</f>
        <v>7335.5</v>
      </c>
      <c r="L133" s="46">
        <f>L134</f>
        <v>7721.6</v>
      </c>
      <c r="M133" s="46">
        <f>M134</f>
        <v>0</v>
      </c>
      <c r="N133" s="46">
        <f>N134</f>
        <v>7721.6</v>
      </c>
      <c r="O133" s="94"/>
      <c r="P133" s="94"/>
    </row>
    <row r="134" spans="1:17" ht="31.5" x14ac:dyDescent="0.2">
      <c r="A134" s="42"/>
      <c r="B134" s="43" t="s">
        <v>131</v>
      </c>
      <c r="C134" s="44" t="s">
        <v>174</v>
      </c>
      <c r="D134" s="45" t="s">
        <v>132</v>
      </c>
      <c r="E134" s="105"/>
      <c r="F134" s="46">
        <v>386.1</v>
      </c>
      <c r="G134" s="46"/>
      <c r="H134" s="46">
        <f>SUM(F134)</f>
        <v>386.1</v>
      </c>
      <c r="I134" s="78">
        <f>14200-6864.5</f>
        <v>7335.5</v>
      </c>
      <c r="J134" s="88"/>
      <c r="K134" s="78">
        <f>14200-6864.5</f>
        <v>7335.5</v>
      </c>
      <c r="L134" s="78">
        <f>SUM(F134+I134)</f>
        <v>7721.6</v>
      </c>
      <c r="M134" s="46">
        <f>SUM(G134)</f>
        <v>0</v>
      </c>
      <c r="N134" s="78">
        <f>SUM(H134+K134)</f>
        <v>7721.6</v>
      </c>
      <c r="O134" s="94"/>
      <c r="P134" s="94"/>
    </row>
    <row r="135" spans="1:17" ht="15.75" x14ac:dyDescent="0.2">
      <c r="A135" s="42"/>
      <c r="B135" s="43" t="s">
        <v>175</v>
      </c>
      <c r="C135" s="44" t="s">
        <v>176</v>
      </c>
      <c r="D135" s="45" t="s">
        <v>26</v>
      </c>
      <c r="E135" s="105"/>
      <c r="F135" s="46">
        <f>F136</f>
        <v>1198.9000000000001</v>
      </c>
      <c r="G135" s="46">
        <f>G136</f>
        <v>0</v>
      </c>
      <c r="H135" s="46">
        <f>H136</f>
        <v>1198.9000000000001</v>
      </c>
      <c r="I135" s="47">
        <f>I136</f>
        <v>12599.699999999999</v>
      </c>
      <c r="J135" s="88"/>
      <c r="K135" s="47">
        <f>K136</f>
        <v>12599.699999999999</v>
      </c>
      <c r="L135" s="46">
        <f>L136</f>
        <v>13798.599999999999</v>
      </c>
      <c r="M135" s="46">
        <f>M136</f>
        <v>0</v>
      </c>
      <c r="N135" s="46">
        <f>N136</f>
        <v>13798.599999999999</v>
      </c>
      <c r="O135" s="94"/>
      <c r="P135" s="94"/>
    </row>
    <row r="136" spans="1:17" ht="31.5" x14ac:dyDescent="0.2">
      <c r="A136" s="42"/>
      <c r="B136" s="43" t="s">
        <v>131</v>
      </c>
      <c r="C136" s="44" t="s">
        <v>176</v>
      </c>
      <c r="D136" s="45" t="s">
        <v>132</v>
      </c>
      <c r="E136" s="105"/>
      <c r="F136" s="46">
        <v>1198.9000000000001</v>
      </c>
      <c r="G136" s="46"/>
      <c r="H136" s="46">
        <v>1198.9000000000001</v>
      </c>
      <c r="I136" s="78">
        <f>11689.4+910.3</f>
        <v>12599.699999999999</v>
      </c>
      <c r="J136" s="88"/>
      <c r="K136" s="78">
        <f>11689.4+910.3</f>
        <v>12599.699999999999</v>
      </c>
      <c r="L136" s="46">
        <f>1198.9+I136</f>
        <v>13798.599999999999</v>
      </c>
      <c r="M136" s="46"/>
      <c r="N136" s="46">
        <f>1198.9+K136</f>
        <v>13798.599999999999</v>
      </c>
      <c r="O136" s="94"/>
      <c r="P136" s="94"/>
    </row>
    <row r="137" spans="1:17" ht="15.75" x14ac:dyDescent="0.2">
      <c r="A137" s="49"/>
      <c r="B137" s="50" t="s">
        <v>177</v>
      </c>
      <c r="C137" s="51" t="s">
        <v>178</v>
      </c>
      <c r="D137" s="52" t="s">
        <v>26</v>
      </c>
      <c r="E137" s="106"/>
      <c r="F137" s="53">
        <f t="shared" ref="F137:N137" si="29">F138</f>
        <v>79256.5</v>
      </c>
      <c r="G137" s="53">
        <f t="shared" si="29"/>
        <v>66.400000000000006</v>
      </c>
      <c r="H137" s="53">
        <f t="shared" si="29"/>
        <v>79322.899999999994</v>
      </c>
      <c r="I137" s="54">
        <f t="shared" si="29"/>
        <v>75</v>
      </c>
      <c r="J137" s="53">
        <f t="shared" si="29"/>
        <v>1260</v>
      </c>
      <c r="K137" s="54">
        <f t="shared" si="29"/>
        <v>1335</v>
      </c>
      <c r="L137" s="53">
        <f t="shared" si="29"/>
        <v>79331.5</v>
      </c>
      <c r="M137" s="53">
        <f t="shared" si="29"/>
        <v>1326.4</v>
      </c>
      <c r="N137" s="53">
        <f t="shared" si="29"/>
        <v>80657.899999999994</v>
      </c>
      <c r="O137" s="95"/>
      <c r="P137" s="95"/>
      <c r="Q137" s="55"/>
    </row>
    <row r="138" spans="1:17" ht="34.9" customHeight="1" x14ac:dyDescent="0.2">
      <c r="A138" s="42"/>
      <c r="B138" s="43" t="s">
        <v>179</v>
      </c>
      <c r="C138" s="44" t="s">
        <v>180</v>
      </c>
      <c r="D138" s="45" t="s">
        <v>26</v>
      </c>
      <c r="E138" s="105"/>
      <c r="F138" s="46">
        <f>F139+F141+F143+F145+F149+F151+F147</f>
        <v>79256.5</v>
      </c>
      <c r="G138" s="46">
        <f>G139+G141+G143+G145+G149+G151+G147+G153</f>
        <v>66.400000000000006</v>
      </c>
      <c r="H138" s="46">
        <f>H139+H141+H143+H145+H149+H151+H147+H153</f>
        <v>79322.899999999994</v>
      </c>
      <c r="I138" s="47">
        <f>I139+I141+I143+I145+I149+I151</f>
        <v>75</v>
      </c>
      <c r="J138" s="88">
        <f>SUM(J153)</f>
        <v>1260</v>
      </c>
      <c r="K138" s="47">
        <f>K139+K141+K143+K145+K149+K151+J138</f>
        <v>1335</v>
      </c>
      <c r="L138" s="46">
        <f>L139+L141+L143+L145+L149+L151+L147</f>
        <v>79331.5</v>
      </c>
      <c r="M138" s="46">
        <f>SUM(M153)</f>
        <v>1326.4</v>
      </c>
      <c r="N138" s="46">
        <f>N139+N141+N143+N145+N149+N151+N147+N153</f>
        <v>80657.899999999994</v>
      </c>
      <c r="O138" s="94"/>
      <c r="P138" s="94"/>
      <c r="Q138" s="48"/>
    </row>
    <row r="139" spans="1:17" ht="15.75" x14ac:dyDescent="0.2">
      <c r="A139" s="42"/>
      <c r="B139" s="43" t="s">
        <v>181</v>
      </c>
      <c r="C139" s="44" t="s">
        <v>182</v>
      </c>
      <c r="D139" s="45" t="s">
        <v>26</v>
      </c>
      <c r="E139" s="105"/>
      <c r="F139" s="46">
        <f>F140</f>
        <v>54041</v>
      </c>
      <c r="G139" s="46">
        <f>G140</f>
        <v>0</v>
      </c>
      <c r="H139" s="46">
        <f>H140</f>
        <v>54041</v>
      </c>
      <c r="I139" s="47">
        <f>I140</f>
        <v>0</v>
      </c>
      <c r="J139" s="88"/>
      <c r="K139" s="47">
        <f>K140</f>
        <v>0</v>
      </c>
      <c r="L139" s="46">
        <f>L140</f>
        <v>54041</v>
      </c>
      <c r="M139" s="46">
        <f>M140</f>
        <v>0</v>
      </c>
      <c r="N139" s="46">
        <f>N140</f>
        <v>54041</v>
      </c>
      <c r="O139" s="94"/>
      <c r="P139" s="94"/>
    </row>
    <row r="140" spans="1:17" ht="31.5" x14ac:dyDescent="0.2">
      <c r="A140" s="42"/>
      <c r="B140" s="43" t="s">
        <v>35</v>
      </c>
      <c r="C140" s="44" t="s">
        <v>182</v>
      </c>
      <c r="D140" s="45" t="s">
        <v>36</v>
      </c>
      <c r="E140" s="105"/>
      <c r="F140" s="46">
        <v>54041</v>
      </c>
      <c r="G140" s="46"/>
      <c r="H140" s="46">
        <f>SUM(F140)</f>
        <v>54041</v>
      </c>
      <c r="I140" s="47">
        <v>0</v>
      </c>
      <c r="J140" s="88"/>
      <c r="K140" s="47">
        <v>0</v>
      </c>
      <c r="L140" s="46">
        <f>SUM(F140)</f>
        <v>54041</v>
      </c>
      <c r="M140" s="46">
        <f>SUM(G140)</f>
        <v>0</v>
      </c>
      <c r="N140" s="46">
        <f>SUM(H140)</f>
        <v>54041</v>
      </c>
      <c r="O140" s="94"/>
      <c r="P140" s="94"/>
    </row>
    <row r="141" spans="1:17" ht="15.75" x14ac:dyDescent="0.2">
      <c r="A141" s="42"/>
      <c r="B141" s="43" t="s">
        <v>183</v>
      </c>
      <c r="C141" s="44" t="s">
        <v>184</v>
      </c>
      <c r="D141" s="45" t="s">
        <v>26</v>
      </c>
      <c r="E141" s="105"/>
      <c r="F141" s="46">
        <f t="shared" ref="F141:N141" si="30">F142</f>
        <v>4842.6000000000004</v>
      </c>
      <c r="G141" s="46">
        <f t="shared" si="30"/>
        <v>0</v>
      </c>
      <c r="H141" s="46">
        <f t="shared" si="30"/>
        <v>4842.6000000000004</v>
      </c>
      <c r="I141" s="47">
        <f t="shared" si="30"/>
        <v>75</v>
      </c>
      <c r="J141" s="46">
        <f t="shared" si="30"/>
        <v>0</v>
      </c>
      <c r="K141" s="47">
        <f t="shared" si="30"/>
        <v>75</v>
      </c>
      <c r="L141" s="46">
        <f t="shared" si="30"/>
        <v>4917.6000000000004</v>
      </c>
      <c r="M141" s="46">
        <f t="shared" si="30"/>
        <v>0</v>
      </c>
      <c r="N141" s="46">
        <f t="shared" si="30"/>
        <v>4917.6000000000004</v>
      </c>
      <c r="O141" s="94"/>
      <c r="P141" s="94"/>
    </row>
    <row r="142" spans="1:17" ht="31.5" x14ac:dyDescent="0.2">
      <c r="A142" s="42"/>
      <c r="B142" s="43" t="s">
        <v>35</v>
      </c>
      <c r="C142" s="44" t="s">
        <v>184</v>
      </c>
      <c r="D142" s="45" t="s">
        <v>36</v>
      </c>
      <c r="E142" s="105"/>
      <c r="F142" s="46">
        <v>4842.6000000000004</v>
      </c>
      <c r="G142" s="46"/>
      <c r="H142" s="46">
        <f>SUM(F142)</f>
        <v>4842.6000000000004</v>
      </c>
      <c r="I142" s="47">
        <v>75</v>
      </c>
      <c r="J142" s="88"/>
      <c r="K142" s="47">
        <f>SUM(I142)</f>
        <v>75</v>
      </c>
      <c r="L142" s="46">
        <f>SUM(F142+I142)</f>
        <v>4917.6000000000004</v>
      </c>
      <c r="M142" s="46">
        <f>SUM(J142)+G142</f>
        <v>0</v>
      </c>
      <c r="N142" s="46">
        <f>SUM(H142+K142)</f>
        <v>4917.6000000000004</v>
      </c>
      <c r="O142" s="94"/>
      <c r="P142" s="94"/>
    </row>
    <row r="143" spans="1:17" ht="15.75" x14ac:dyDescent="0.2">
      <c r="A143" s="42"/>
      <c r="B143" s="43" t="s">
        <v>185</v>
      </c>
      <c r="C143" s="44" t="s">
        <v>186</v>
      </c>
      <c r="D143" s="45" t="s">
        <v>26</v>
      </c>
      <c r="E143" s="105"/>
      <c r="F143" s="46">
        <f>F144</f>
        <v>2550</v>
      </c>
      <c r="G143" s="46">
        <f>G144</f>
        <v>0</v>
      </c>
      <c r="H143" s="46">
        <f>H144</f>
        <v>2550</v>
      </c>
      <c r="I143" s="47">
        <f>I144</f>
        <v>0</v>
      </c>
      <c r="J143" s="88"/>
      <c r="K143" s="47">
        <f>K144</f>
        <v>0</v>
      </c>
      <c r="L143" s="46">
        <f>L144</f>
        <v>2550</v>
      </c>
      <c r="M143" s="46">
        <f>M144</f>
        <v>0</v>
      </c>
      <c r="N143" s="46">
        <f>N144</f>
        <v>2550</v>
      </c>
      <c r="O143" s="94"/>
      <c r="P143" s="94"/>
    </row>
    <row r="144" spans="1:17" ht="31.5" x14ac:dyDescent="0.2">
      <c r="A144" s="42"/>
      <c r="B144" s="43" t="s">
        <v>35</v>
      </c>
      <c r="C144" s="44" t="s">
        <v>186</v>
      </c>
      <c r="D144" s="45" t="s">
        <v>36</v>
      </c>
      <c r="E144" s="105"/>
      <c r="F144" s="46">
        <v>2550</v>
      </c>
      <c r="G144" s="46"/>
      <c r="H144" s="46">
        <v>2550</v>
      </c>
      <c r="I144" s="47">
        <v>0</v>
      </c>
      <c r="J144" s="88"/>
      <c r="K144" s="47">
        <v>0</v>
      </c>
      <c r="L144" s="46">
        <v>2550</v>
      </c>
      <c r="M144" s="46"/>
      <c r="N144" s="46">
        <v>2550</v>
      </c>
      <c r="O144" s="94"/>
      <c r="P144" s="94"/>
    </row>
    <row r="145" spans="1:16" ht="15.75" x14ac:dyDescent="0.2">
      <c r="A145" s="42"/>
      <c r="B145" s="43" t="s">
        <v>187</v>
      </c>
      <c r="C145" s="44" t="s">
        <v>188</v>
      </c>
      <c r="D145" s="45" t="s">
        <v>26</v>
      </c>
      <c r="E145" s="105"/>
      <c r="F145" s="46">
        <f>F146</f>
        <v>1597.4</v>
      </c>
      <c r="G145" s="46">
        <f>G146</f>
        <v>0</v>
      </c>
      <c r="H145" s="46">
        <f>H146</f>
        <v>1597.4</v>
      </c>
      <c r="I145" s="47">
        <f>I146</f>
        <v>0</v>
      </c>
      <c r="J145" s="88"/>
      <c r="K145" s="47">
        <f>K146</f>
        <v>0</v>
      </c>
      <c r="L145" s="46">
        <f>L146</f>
        <v>1597.4</v>
      </c>
      <c r="M145" s="46">
        <f>M146</f>
        <v>0</v>
      </c>
      <c r="N145" s="46">
        <f>N146</f>
        <v>1597.4</v>
      </c>
      <c r="O145" s="94"/>
      <c r="P145" s="94"/>
    </row>
    <row r="146" spans="1:16" ht="31.5" x14ac:dyDescent="0.2">
      <c r="A146" s="42"/>
      <c r="B146" s="43" t="s">
        <v>35</v>
      </c>
      <c r="C146" s="44" t="s">
        <v>188</v>
      </c>
      <c r="D146" s="45" t="s">
        <v>36</v>
      </c>
      <c r="E146" s="105"/>
      <c r="F146" s="46">
        <v>1597.4</v>
      </c>
      <c r="G146" s="46"/>
      <c r="H146" s="46">
        <f>SUM(F146)</f>
        <v>1597.4</v>
      </c>
      <c r="I146" s="47">
        <v>0</v>
      </c>
      <c r="J146" s="88"/>
      <c r="K146" s="47">
        <v>0</v>
      </c>
      <c r="L146" s="46">
        <f t="shared" ref="L146:N148" si="31">SUM(F146)</f>
        <v>1597.4</v>
      </c>
      <c r="M146" s="46">
        <f t="shared" si="31"/>
        <v>0</v>
      </c>
      <c r="N146" s="46">
        <f t="shared" si="31"/>
        <v>1597.4</v>
      </c>
      <c r="O146" s="94"/>
      <c r="P146" s="94"/>
    </row>
    <row r="147" spans="1:16" ht="27" customHeight="1" x14ac:dyDescent="0.2">
      <c r="A147" s="42"/>
      <c r="B147" s="43" t="s">
        <v>189</v>
      </c>
      <c r="C147" s="44" t="s">
        <v>190</v>
      </c>
      <c r="D147" s="45"/>
      <c r="E147" s="105"/>
      <c r="F147" s="46">
        <v>700</v>
      </c>
      <c r="G147" s="46"/>
      <c r="H147" s="46">
        <f>SUM(F147)</f>
        <v>700</v>
      </c>
      <c r="I147" s="47"/>
      <c r="J147" s="88"/>
      <c r="K147" s="47"/>
      <c r="L147" s="46">
        <f t="shared" si="31"/>
        <v>700</v>
      </c>
      <c r="M147" s="46">
        <f t="shared" si="31"/>
        <v>0</v>
      </c>
      <c r="N147" s="46">
        <f t="shared" si="31"/>
        <v>700</v>
      </c>
      <c r="O147" s="94"/>
      <c r="P147" s="94"/>
    </row>
    <row r="148" spans="1:16" ht="31.5" x14ac:dyDescent="0.2">
      <c r="A148" s="42"/>
      <c r="B148" s="43" t="s">
        <v>35</v>
      </c>
      <c r="C148" s="44" t="s">
        <v>190</v>
      </c>
      <c r="D148" s="45" t="s">
        <v>36</v>
      </c>
      <c r="E148" s="105"/>
      <c r="F148" s="46">
        <v>700</v>
      </c>
      <c r="G148" s="46"/>
      <c r="H148" s="46">
        <f>SUM(F148)</f>
        <v>700</v>
      </c>
      <c r="I148" s="47"/>
      <c r="J148" s="88"/>
      <c r="K148" s="47"/>
      <c r="L148" s="46">
        <f t="shared" si="31"/>
        <v>700</v>
      </c>
      <c r="M148" s="46">
        <f t="shared" si="31"/>
        <v>0</v>
      </c>
      <c r="N148" s="46">
        <f t="shared" si="31"/>
        <v>700</v>
      </c>
      <c r="O148" s="94"/>
      <c r="P148" s="94"/>
    </row>
    <row r="149" spans="1:16" ht="31.5" x14ac:dyDescent="0.2">
      <c r="A149" s="42"/>
      <c r="B149" s="43" t="s">
        <v>191</v>
      </c>
      <c r="C149" s="44" t="s">
        <v>192</v>
      </c>
      <c r="D149" s="45" t="s">
        <v>26</v>
      </c>
      <c r="E149" s="105"/>
      <c r="F149" s="46">
        <f>F150</f>
        <v>4100</v>
      </c>
      <c r="G149" s="46">
        <f>G150</f>
        <v>0</v>
      </c>
      <c r="H149" s="46">
        <f>H150</f>
        <v>4100</v>
      </c>
      <c r="I149" s="47">
        <f>I150</f>
        <v>0</v>
      </c>
      <c r="J149" s="88"/>
      <c r="K149" s="47">
        <f>K150</f>
        <v>0</v>
      </c>
      <c r="L149" s="46">
        <f>L150</f>
        <v>4100</v>
      </c>
      <c r="M149" s="46">
        <f>M150</f>
        <v>0</v>
      </c>
      <c r="N149" s="46">
        <f>N150</f>
        <v>4100</v>
      </c>
      <c r="O149" s="94"/>
      <c r="P149" s="94"/>
    </row>
    <row r="150" spans="1:16" ht="31.5" x14ac:dyDescent="0.2">
      <c r="A150" s="42"/>
      <c r="B150" s="43" t="s">
        <v>35</v>
      </c>
      <c r="C150" s="44" t="s">
        <v>192</v>
      </c>
      <c r="D150" s="45" t="s">
        <v>36</v>
      </c>
      <c r="E150" s="105"/>
      <c r="F150" s="46">
        <v>4100</v>
      </c>
      <c r="G150" s="46"/>
      <c r="H150" s="46">
        <v>4100</v>
      </c>
      <c r="I150" s="47">
        <v>0</v>
      </c>
      <c r="J150" s="88"/>
      <c r="K150" s="47">
        <v>0</v>
      </c>
      <c r="L150" s="46">
        <v>4100</v>
      </c>
      <c r="M150" s="46"/>
      <c r="N150" s="46">
        <v>4100</v>
      </c>
      <c r="O150" s="94"/>
      <c r="P150" s="94"/>
    </row>
    <row r="151" spans="1:16" ht="34.9" customHeight="1" x14ac:dyDescent="0.2">
      <c r="A151" s="42"/>
      <c r="B151" s="43" t="s">
        <v>193</v>
      </c>
      <c r="C151" s="44" t="s">
        <v>194</v>
      </c>
      <c r="D151" s="45" t="s">
        <v>26</v>
      </c>
      <c r="E151" s="105"/>
      <c r="F151" s="46">
        <f>F152</f>
        <v>11425.5</v>
      </c>
      <c r="G151" s="46">
        <f>G152</f>
        <v>0</v>
      </c>
      <c r="H151" s="46">
        <f>H152</f>
        <v>11425.5</v>
      </c>
      <c r="I151" s="47">
        <f>I152</f>
        <v>0</v>
      </c>
      <c r="J151" s="88"/>
      <c r="K151" s="47">
        <f>K152</f>
        <v>0</v>
      </c>
      <c r="L151" s="46">
        <f>L152</f>
        <v>11425.5</v>
      </c>
      <c r="M151" s="46">
        <f>M152</f>
        <v>0</v>
      </c>
      <c r="N151" s="46">
        <f>N152</f>
        <v>11425.5</v>
      </c>
      <c r="O151" s="94"/>
      <c r="P151" s="94"/>
    </row>
    <row r="152" spans="1:16" ht="31.5" x14ac:dyDescent="0.2">
      <c r="A152" s="42"/>
      <c r="B152" s="43" t="s">
        <v>35</v>
      </c>
      <c r="C152" s="44" t="s">
        <v>194</v>
      </c>
      <c r="D152" s="45" t="s">
        <v>36</v>
      </c>
      <c r="E152" s="105"/>
      <c r="F152" s="56">
        <v>11425.5</v>
      </c>
      <c r="G152" s="56"/>
      <c r="H152" s="56">
        <f>SUM(F152)</f>
        <v>11425.5</v>
      </c>
      <c r="I152" s="47">
        <v>0</v>
      </c>
      <c r="J152" s="111"/>
      <c r="K152" s="47">
        <v>0</v>
      </c>
      <c r="L152" s="56">
        <f>SUM(F152)</f>
        <v>11425.5</v>
      </c>
      <c r="M152" s="56">
        <f>SUM(G152)</f>
        <v>0</v>
      </c>
      <c r="N152" s="56">
        <f>SUM(H152)</f>
        <v>11425.5</v>
      </c>
      <c r="O152" s="94"/>
      <c r="P152" s="94"/>
    </row>
    <row r="153" spans="1:16" ht="110.25" x14ac:dyDescent="0.2">
      <c r="A153" s="42"/>
      <c r="B153" s="43" t="s">
        <v>453</v>
      </c>
      <c r="C153" s="44" t="s">
        <v>452</v>
      </c>
      <c r="D153" s="45"/>
      <c r="E153" s="105"/>
      <c r="F153" s="56"/>
      <c r="G153" s="56">
        <f>SUM(G154)</f>
        <v>66.400000000000006</v>
      </c>
      <c r="H153" s="56">
        <f>SUM(G153)</f>
        <v>66.400000000000006</v>
      </c>
      <c r="I153" s="47"/>
      <c r="J153" s="111">
        <f>SUM(J154)</f>
        <v>1260</v>
      </c>
      <c r="K153" s="47">
        <f>SUM(J153)</f>
        <v>1260</v>
      </c>
      <c r="L153" s="56"/>
      <c r="M153" s="56">
        <f>SUM(J153)+G153</f>
        <v>1326.4</v>
      </c>
      <c r="N153" s="56">
        <f>SUM(K153)+H153</f>
        <v>1326.4</v>
      </c>
      <c r="O153" s="94"/>
      <c r="P153" s="94"/>
    </row>
    <row r="154" spans="1:16" ht="31.5" x14ac:dyDescent="0.2">
      <c r="A154" s="42"/>
      <c r="B154" s="43" t="s">
        <v>35</v>
      </c>
      <c r="C154" s="44" t="s">
        <v>452</v>
      </c>
      <c r="D154" s="45" t="s">
        <v>36</v>
      </c>
      <c r="E154" s="105"/>
      <c r="F154" s="56"/>
      <c r="G154" s="56">
        <v>66.400000000000006</v>
      </c>
      <c r="H154" s="56">
        <f>SUM(G154)</f>
        <v>66.400000000000006</v>
      </c>
      <c r="I154" s="47"/>
      <c r="J154" s="111">
        <v>1260</v>
      </c>
      <c r="K154" s="47">
        <f>SUM(J154)</f>
        <v>1260</v>
      </c>
      <c r="L154" s="56"/>
      <c r="M154" s="56">
        <f>SUM(J154)+G154</f>
        <v>1326.4</v>
      </c>
      <c r="N154" s="56">
        <f>SUM(K154)+H154</f>
        <v>1326.4</v>
      </c>
      <c r="O154" s="94"/>
      <c r="P154" s="94"/>
    </row>
    <row r="155" spans="1:16" ht="21.6" customHeight="1" x14ac:dyDescent="0.2">
      <c r="A155" s="49"/>
      <c r="B155" s="50" t="s">
        <v>195</v>
      </c>
      <c r="C155" s="51" t="s">
        <v>196</v>
      </c>
      <c r="D155" s="52" t="s">
        <v>26</v>
      </c>
      <c r="E155" s="106"/>
      <c r="F155" s="53">
        <f t="shared" ref="F155:N155" si="32">F156</f>
        <v>7372.5</v>
      </c>
      <c r="G155" s="53">
        <f t="shared" si="32"/>
        <v>0</v>
      </c>
      <c r="H155" s="53">
        <f t="shared" si="32"/>
        <v>7372.5</v>
      </c>
      <c r="I155" s="54">
        <f t="shared" si="32"/>
        <v>0</v>
      </c>
      <c r="J155" s="53">
        <f t="shared" si="32"/>
        <v>0</v>
      </c>
      <c r="K155" s="54">
        <f t="shared" si="32"/>
        <v>0</v>
      </c>
      <c r="L155" s="53">
        <f t="shared" si="32"/>
        <v>7372.5</v>
      </c>
      <c r="M155" s="53">
        <f t="shared" si="32"/>
        <v>0</v>
      </c>
      <c r="N155" s="53">
        <f t="shared" si="32"/>
        <v>7372.5</v>
      </c>
      <c r="O155" s="95"/>
      <c r="P155" s="95"/>
    </row>
    <row r="156" spans="1:16" ht="31.5" x14ac:dyDescent="0.2">
      <c r="A156" s="42"/>
      <c r="B156" s="43" t="s">
        <v>197</v>
      </c>
      <c r="C156" s="44" t="s">
        <v>198</v>
      </c>
      <c r="D156" s="45" t="s">
        <v>26</v>
      </c>
      <c r="E156" s="105"/>
      <c r="F156" s="46">
        <f>F157+F159</f>
        <v>7372.5</v>
      </c>
      <c r="G156" s="46">
        <f>G157+G159</f>
        <v>0</v>
      </c>
      <c r="H156" s="46">
        <f>H157+H159</f>
        <v>7372.5</v>
      </c>
      <c r="I156" s="47">
        <f>I157+I159</f>
        <v>0</v>
      </c>
      <c r="J156" s="88"/>
      <c r="K156" s="47">
        <f>K157+K159</f>
        <v>0</v>
      </c>
      <c r="L156" s="46">
        <f>L157+L159</f>
        <v>7372.5</v>
      </c>
      <c r="M156" s="46">
        <f>M157+M159</f>
        <v>0</v>
      </c>
      <c r="N156" s="46">
        <f>N157+N159</f>
        <v>7372.5</v>
      </c>
      <c r="O156" s="94"/>
      <c r="P156" s="94"/>
    </row>
    <row r="157" spans="1:16" ht="31.9" customHeight="1" x14ac:dyDescent="0.2">
      <c r="A157" s="42"/>
      <c r="B157" s="43" t="s">
        <v>199</v>
      </c>
      <c r="C157" s="44" t="s">
        <v>200</v>
      </c>
      <c r="D157" s="45" t="s">
        <v>26</v>
      </c>
      <c r="E157" s="105"/>
      <c r="F157" s="46">
        <f>F158</f>
        <v>2400</v>
      </c>
      <c r="G157" s="46">
        <f>G158</f>
        <v>0</v>
      </c>
      <c r="H157" s="46">
        <f>H158</f>
        <v>2400</v>
      </c>
      <c r="I157" s="47">
        <f>I158</f>
        <v>0</v>
      </c>
      <c r="J157" s="88"/>
      <c r="K157" s="47">
        <f>K158</f>
        <v>0</v>
      </c>
      <c r="L157" s="46">
        <f>L158</f>
        <v>2400</v>
      </c>
      <c r="M157" s="46">
        <f>M158</f>
        <v>0</v>
      </c>
      <c r="N157" s="46">
        <f>N158</f>
        <v>2400</v>
      </c>
      <c r="O157" s="94"/>
      <c r="P157" s="94"/>
    </row>
    <row r="158" spans="1:16" ht="31.5" x14ac:dyDescent="0.2">
      <c r="A158" s="42"/>
      <c r="B158" s="43" t="s">
        <v>35</v>
      </c>
      <c r="C158" s="44" t="s">
        <v>200</v>
      </c>
      <c r="D158" s="45" t="s">
        <v>36</v>
      </c>
      <c r="E158" s="105"/>
      <c r="F158" s="46">
        <v>2400</v>
      </c>
      <c r="G158" s="46"/>
      <c r="H158" s="46">
        <v>2400</v>
      </c>
      <c r="I158" s="47">
        <v>0</v>
      </c>
      <c r="J158" s="88"/>
      <c r="K158" s="47">
        <v>0</v>
      </c>
      <c r="L158" s="46">
        <v>2400</v>
      </c>
      <c r="M158" s="46"/>
      <c r="N158" s="46">
        <v>2400</v>
      </c>
      <c r="O158" s="94"/>
      <c r="P158" s="94"/>
    </row>
    <row r="159" spans="1:16" ht="31.5" x14ac:dyDescent="0.2">
      <c r="A159" s="42"/>
      <c r="B159" s="43" t="s">
        <v>201</v>
      </c>
      <c r="C159" s="44" t="s">
        <v>202</v>
      </c>
      <c r="D159" s="45" t="s">
        <v>26</v>
      </c>
      <c r="E159" s="105"/>
      <c r="F159" s="46">
        <f>F160</f>
        <v>4972.5</v>
      </c>
      <c r="G159" s="46">
        <f>G160</f>
        <v>0</v>
      </c>
      <c r="H159" s="46">
        <f>H160</f>
        <v>4972.5</v>
      </c>
      <c r="I159" s="47">
        <f>I160</f>
        <v>0</v>
      </c>
      <c r="J159" s="88"/>
      <c r="K159" s="47">
        <f>K160</f>
        <v>0</v>
      </c>
      <c r="L159" s="46">
        <f>L160</f>
        <v>4972.5</v>
      </c>
      <c r="M159" s="46">
        <f>M160</f>
        <v>0</v>
      </c>
      <c r="N159" s="46">
        <f>N160</f>
        <v>4972.5</v>
      </c>
      <c r="O159" s="94"/>
      <c r="P159" s="94"/>
    </row>
    <row r="160" spans="1:16" ht="31.5" x14ac:dyDescent="0.2">
      <c r="A160" s="42"/>
      <c r="B160" s="43" t="s">
        <v>35</v>
      </c>
      <c r="C160" s="44" t="s">
        <v>202</v>
      </c>
      <c r="D160" s="45" t="s">
        <v>36</v>
      </c>
      <c r="E160" s="105"/>
      <c r="F160" s="56">
        <v>4972.5</v>
      </c>
      <c r="G160" s="56"/>
      <c r="H160" s="56">
        <f>SUM(F160)</f>
        <v>4972.5</v>
      </c>
      <c r="I160" s="47">
        <v>0</v>
      </c>
      <c r="J160" s="111"/>
      <c r="K160" s="47">
        <v>0</v>
      </c>
      <c r="L160" s="56">
        <f>SUM(F160)</f>
        <v>4972.5</v>
      </c>
      <c r="M160" s="56">
        <f>SUM(G160)</f>
        <v>0</v>
      </c>
      <c r="N160" s="56">
        <f>SUM(H160)</f>
        <v>4972.5</v>
      </c>
      <c r="O160" s="94"/>
      <c r="P160" s="94"/>
    </row>
    <row r="161" spans="1:17" ht="15.75" x14ac:dyDescent="0.2">
      <c r="A161" s="49"/>
      <c r="B161" s="50" t="s">
        <v>203</v>
      </c>
      <c r="C161" s="51" t="s">
        <v>204</v>
      </c>
      <c r="D161" s="52" t="s">
        <v>26</v>
      </c>
      <c r="E161" s="106"/>
      <c r="F161" s="53">
        <f>F162+F165+F172</f>
        <v>106457.9</v>
      </c>
      <c r="G161" s="53">
        <f>G162+G165+G172</f>
        <v>10000</v>
      </c>
      <c r="H161" s="53">
        <f>H162+H165+H172</f>
        <v>116457.9</v>
      </c>
      <c r="I161" s="54">
        <f>I162+I165</f>
        <v>0</v>
      </c>
      <c r="J161" s="53">
        <f>J162+J165</f>
        <v>0</v>
      </c>
      <c r="K161" s="54">
        <f>K162+K165</f>
        <v>0</v>
      </c>
      <c r="L161" s="53">
        <f>L162+L165+L172</f>
        <v>106457.9</v>
      </c>
      <c r="M161" s="53">
        <f>M162+M165+M172</f>
        <v>10000</v>
      </c>
      <c r="N161" s="53">
        <f>N162+N165+N172</f>
        <v>116457.9</v>
      </c>
      <c r="O161" s="95"/>
      <c r="P161" s="95"/>
    </row>
    <row r="162" spans="1:17" ht="31.5" x14ac:dyDescent="0.2">
      <c r="A162" s="42"/>
      <c r="B162" s="43" t="s">
        <v>205</v>
      </c>
      <c r="C162" s="44" t="s">
        <v>206</v>
      </c>
      <c r="D162" s="45" t="s">
        <v>26</v>
      </c>
      <c r="E162" s="105"/>
      <c r="F162" s="46">
        <f t="shared" ref="F162:N163" si="33">F163</f>
        <v>7768.7</v>
      </c>
      <c r="G162" s="46">
        <f t="shared" si="33"/>
        <v>0</v>
      </c>
      <c r="H162" s="46">
        <f t="shared" si="33"/>
        <v>7768.7</v>
      </c>
      <c r="I162" s="47">
        <f t="shared" si="33"/>
        <v>0</v>
      </c>
      <c r="J162" s="88"/>
      <c r="K162" s="47">
        <f t="shared" si="33"/>
        <v>0</v>
      </c>
      <c r="L162" s="46">
        <f t="shared" si="33"/>
        <v>7768.7</v>
      </c>
      <c r="M162" s="46">
        <f t="shared" si="33"/>
        <v>0</v>
      </c>
      <c r="N162" s="46">
        <f t="shared" si="33"/>
        <v>7768.7</v>
      </c>
      <c r="O162" s="94"/>
      <c r="P162" s="94"/>
    </row>
    <row r="163" spans="1:17" ht="31.5" x14ac:dyDescent="0.2">
      <c r="A163" s="42"/>
      <c r="B163" s="43" t="s">
        <v>39</v>
      </c>
      <c r="C163" s="44" t="s">
        <v>207</v>
      </c>
      <c r="D163" s="45" t="s">
        <v>26</v>
      </c>
      <c r="E163" s="105"/>
      <c r="F163" s="46">
        <f t="shared" si="33"/>
        <v>7768.7</v>
      </c>
      <c r="G163" s="46">
        <f t="shared" si="33"/>
        <v>0</v>
      </c>
      <c r="H163" s="46">
        <f t="shared" si="33"/>
        <v>7768.7</v>
      </c>
      <c r="I163" s="47">
        <f t="shared" si="33"/>
        <v>0</v>
      </c>
      <c r="J163" s="88"/>
      <c r="K163" s="47">
        <f t="shared" si="33"/>
        <v>0</v>
      </c>
      <c r="L163" s="46">
        <f t="shared" si="33"/>
        <v>7768.7</v>
      </c>
      <c r="M163" s="46">
        <f t="shared" si="33"/>
        <v>0</v>
      </c>
      <c r="N163" s="46">
        <f t="shared" si="33"/>
        <v>7768.7</v>
      </c>
      <c r="O163" s="94"/>
      <c r="P163" s="94"/>
    </row>
    <row r="164" spans="1:17" ht="31.5" x14ac:dyDescent="0.2">
      <c r="A164" s="42"/>
      <c r="B164" s="43" t="s">
        <v>74</v>
      </c>
      <c r="C164" s="44" t="s">
        <v>207</v>
      </c>
      <c r="D164" s="45" t="s">
        <v>75</v>
      </c>
      <c r="E164" s="105"/>
      <c r="F164" s="46">
        <v>7768.7</v>
      </c>
      <c r="G164" s="46"/>
      <c r="H164" s="46">
        <v>7768.7</v>
      </c>
      <c r="I164" s="47">
        <v>0</v>
      </c>
      <c r="J164" s="88"/>
      <c r="K164" s="47">
        <v>0</v>
      </c>
      <c r="L164" s="46">
        <v>7768.7</v>
      </c>
      <c r="M164" s="46"/>
      <c r="N164" s="46">
        <v>7768.7</v>
      </c>
      <c r="O164" s="94"/>
      <c r="P164" s="94"/>
    </row>
    <row r="165" spans="1:17" ht="36" customHeight="1" x14ac:dyDescent="0.2">
      <c r="A165" s="42"/>
      <c r="B165" s="43" t="s">
        <v>208</v>
      </c>
      <c r="C165" s="44" t="s">
        <v>209</v>
      </c>
      <c r="D165" s="45" t="s">
        <v>26</v>
      </c>
      <c r="E165" s="105"/>
      <c r="F165" s="46">
        <f>F166+F168+F170</f>
        <v>97182.3</v>
      </c>
      <c r="G165" s="46">
        <f>SUM(G170)+G166+G168</f>
        <v>0</v>
      </c>
      <c r="H165" s="46">
        <f>H166+H168+H170</f>
        <v>97182.3</v>
      </c>
      <c r="I165" s="47">
        <f t="shared" ref="F165:N166" si="34">I166</f>
        <v>0</v>
      </c>
      <c r="J165" s="88"/>
      <c r="K165" s="47">
        <f t="shared" si="34"/>
        <v>0</v>
      </c>
      <c r="L165" s="46">
        <f>L166+L168+L170</f>
        <v>97182.3</v>
      </c>
      <c r="M165" s="46">
        <f>SUM(M170)+M166+M168</f>
        <v>0</v>
      </c>
      <c r="N165" s="46">
        <f>N166+N168+N170</f>
        <v>97182.3</v>
      </c>
      <c r="O165" s="94"/>
      <c r="P165" s="94"/>
    </row>
    <row r="166" spans="1:17" ht="31.5" x14ac:dyDescent="0.2">
      <c r="A166" s="42"/>
      <c r="B166" s="43" t="s">
        <v>39</v>
      </c>
      <c r="C166" s="44" t="s">
        <v>210</v>
      </c>
      <c r="D166" s="45" t="s">
        <v>26</v>
      </c>
      <c r="E166" s="105"/>
      <c r="F166" s="46">
        <f t="shared" si="34"/>
        <v>94103.3</v>
      </c>
      <c r="G166" s="46">
        <f t="shared" si="34"/>
        <v>0</v>
      </c>
      <c r="H166" s="46">
        <f t="shared" si="34"/>
        <v>94103.3</v>
      </c>
      <c r="I166" s="47">
        <f t="shared" si="34"/>
        <v>0</v>
      </c>
      <c r="J166" s="88"/>
      <c r="K166" s="47">
        <f t="shared" si="34"/>
        <v>0</v>
      </c>
      <c r="L166" s="46">
        <f t="shared" si="34"/>
        <v>94103.3</v>
      </c>
      <c r="M166" s="46">
        <f t="shared" si="34"/>
        <v>0</v>
      </c>
      <c r="N166" s="46">
        <f t="shared" si="34"/>
        <v>94103.3</v>
      </c>
      <c r="O166" s="94"/>
      <c r="P166" s="94"/>
    </row>
    <row r="167" spans="1:17" ht="30.75" customHeight="1" x14ac:dyDescent="0.2">
      <c r="A167" s="42"/>
      <c r="B167" s="43" t="s">
        <v>74</v>
      </c>
      <c r="C167" s="44" t="s">
        <v>210</v>
      </c>
      <c r="D167" s="45" t="s">
        <v>75</v>
      </c>
      <c r="E167" s="105"/>
      <c r="F167" s="46">
        <v>94103.3</v>
      </c>
      <c r="G167" s="46"/>
      <c r="H167" s="46">
        <f>94103.3+G167</f>
        <v>94103.3</v>
      </c>
      <c r="I167" s="47">
        <v>0</v>
      </c>
      <c r="J167" s="88"/>
      <c r="K167" s="47">
        <v>0</v>
      </c>
      <c r="L167" s="46">
        <f>SUM(F166)</f>
        <v>94103.3</v>
      </c>
      <c r="M167" s="46">
        <f>SUM(G167)</f>
        <v>0</v>
      </c>
      <c r="N167" s="46">
        <f>SUM(H167)</f>
        <v>94103.3</v>
      </c>
      <c r="O167" s="94"/>
      <c r="P167" s="94"/>
    </row>
    <row r="168" spans="1:17" ht="31.5" customHeight="1" x14ac:dyDescent="0.2">
      <c r="A168" s="42"/>
      <c r="B168" s="43" t="s">
        <v>211</v>
      </c>
      <c r="C168" s="44" t="s">
        <v>212</v>
      </c>
      <c r="D168" s="45"/>
      <c r="E168" s="105"/>
      <c r="F168" s="46">
        <v>779</v>
      </c>
      <c r="G168" s="46"/>
      <c r="H168" s="46">
        <f>SUM(F168)</f>
        <v>779</v>
      </c>
      <c r="I168" s="47"/>
      <c r="J168" s="88"/>
      <c r="K168" s="47"/>
      <c r="L168" s="46">
        <f>SUM(F169)</f>
        <v>779</v>
      </c>
      <c r="M168" s="46">
        <f>SUM(G168)</f>
        <v>0</v>
      </c>
      <c r="N168" s="46">
        <f>SUM(L168)</f>
        <v>779</v>
      </c>
      <c r="O168" s="94"/>
      <c r="P168" s="94"/>
    </row>
    <row r="169" spans="1:17" ht="33.75" customHeight="1" x14ac:dyDescent="0.2">
      <c r="A169" s="42"/>
      <c r="B169" s="43" t="s">
        <v>74</v>
      </c>
      <c r="C169" s="44" t="s">
        <v>212</v>
      </c>
      <c r="D169" s="45" t="s">
        <v>75</v>
      </c>
      <c r="E169" s="105"/>
      <c r="F169" s="46">
        <v>779</v>
      </c>
      <c r="G169" s="46"/>
      <c r="H169" s="46">
        <f>SUM(F169)</f>
        <v>779</v>
      </c>
      <c r="I169" s="47"/>
      <c r="J169" s="88"/>
      <c r="K169" s="47"/>
      <c r="L169" s="46">
        <f t="shared" ref="L169:L174" si="35">SUM(F169)</f>
        <v>779</v>
      </c>
      <c r="M169" s="46">
        <f>SUM(G169)</f>
        <v>0</v>
      </c>
      <c r="N169" s="46">
        <f>SUM(L169)</f>
        <v>779</v>
      </c>
      <c r="O169" s="94"/>
      <c r="P169" s="94"/>
    </row>
    <row r="170" spans="1:17" ht="31.5" customHeight="1" x14ac:dyDescent="0.2">
      <c r="A170" s="42"/>
      <c r="B170" s="121" t="s">
        <v>78</v>
      </c>
      <c r="C170" s="44" t="s">
        <v>213</v>
      </c>
      <c r="D170" s="45"/>
      <c r="E170" s="105"/>
      <c r="F170" s="46">
        <v>2300</v>
      </c>
      <c r="G170" s="46">
        <f>SUM(G171)</f>
        <v>0</v>
      </c>
      <c r="H170" s="46">
        <f>SUM(H171)</f>
        <v>2300</v>
      </c>
      <c r="I170" s="47"/>
      <c r="J170" s="88"/>
      <c r="K170" s="47"/>
      <c r="L170" s="46">
        <f t="shared" si="35"/>
        <v>2300</v>
      </c>
      <c r="M170" s="46">
        <f t="shared" ref="M170:N174" si="36">SUM(G170)</f>
        <v>0</v>
      </c>
      <c r="N170" s="46">
        <f t="shared" si="36"/>
        <v>2300</v>
      </c>
      <c r="O170" s="94"/>
      <c r="P170" s="94"/>
    </row>
    <row r="171" spans="1:17" ht="31.5" customHeight="1" x14ac:dyDescent="0.2">
      <c r="A171" s="42"/>
      <c r="B171" s="43" t="s">
        <v>74</v>
      </c>
      <c r="C171" s="44" t="s">
        <v>213</v>
      </c>
      <c r="D171" s="45" t="s">
        <v>75</v>
      </c>
      <c r="E171" s="105"/>
      <c r="F171" s="46">
        <v>2300</v>
      </c>
      <c r="G171" s="46"/>
      <c r="H171" s="46">
        <f>SUM(F171)</f>
        <v>2300</v>
      </c>
      <c r="I171" s="47"/>
      <c r="J171" s="88"/>
      <c r="K171" s="47"/>
      <c r="L171" s="46">
        <f t="shared" si="35"/>
        <v>2300</v>
      </c>
      <c r="M171" s="46">
        <f t="shared" si="36"/>
        <v>0</v>
      </c>
      <c r="N171" s="46">
        <f t="shared" si="36"/>
        <v>2300</v>
      </c>
      <c r="O171" s="94"/>
      <c r="P171" s="94"/>
    </row>
    <row r="172" spans="1:17" ht="49.5" customHeight="1" x14ac:dyDescent="0.2">
      <c r="A172" s="42"/>
      <c r="B172" s="119" t="s">
        <v>214</v>
      </c>
      <c r="C172" s="44" t="s">
        <v>215</v>
      </c>
      <c r="D172" s="45"/>
      <c r="E172" s="105"/>
      <c r="F172" s="46">
        <f>SUM(F173)</f>
        <v>1506.9</v>
      </c>
      <c r="G172" s="46">
        <f>SUM(G173)</f>
        <v>10000</v>
      </c>
      <c r="H172" s="46">
        <f>SUM(F172)+G172</f>
        <v>11506.9</v>
      </c>
      <c r="I172" s="47"/>
      <c r="J172" s="88"/>
      <c r="K172" s="47"/>
      <c r="L172" s="46">
        <f t="shared" si="35"/>
        <v>1506.9</v>
      </c>
      <c r="M172" s="46">
        <f t="shared" si="36"/>
        <v>10000</v>
      </c>
      <c r="N172" s="46">
        <f t="shared" si="36"/>
        <v>11506.9</v>
      </c>
      <c r="O172" s="94"/>
      <c r="P172" s="94"/>
    </row>
    <row r="173" spans="1:17" ht="63" x14ac:dyDescent="0.2">
      <c r="A173" s="42"/>
      <c r="B173" s="120" t="s">
        <v>216</v>
      </c>
      <c r="C173" s="44" t="s">
        <v>217</v>
      </c>
      <c r="D173" s="45"/>
      <c r="E173" s="105"/>
      <c r="F173" s="46">
        <v>1506.9</v>
      </c>
      <c r="G173" s="46">
        <f>SUM(G174)</f>
        <v>10000</v>
      </c>
      <c r="H173" s="46">
        <f>SUM(F173)+G173</f>
        <v>11506.9</v>
      </c>
      <c r="I173" s="47"/>
      <c r="J173" s="88"/>
      <c r="K173" s="47"/>
      <c r="L173" s="46">
        <f t="shared" si="35"/>
        <v>1506.9</v>
      </c>
      <c r="M173" s="46">
        <f t="shared" si="36"/>
        <v>10000</v>
      </c>
      <c r="N173" s="46">
        <f t="shared" si="36"/>
        <v>11506.9</v>
      </c>
      <c r="O173" s="94"/>
      <c r="P173" s="94"/>
    </row>
    <row r="174" spans="1:17" ht="31.5" x14ac:dyDescent="0.2">
      <c r="A174" s="42"/>
      <c r="B174" s="43" t="s">
        <v>74</v>
      </c>
      <c r="C174" s="44" t="s">
        <v>217</v>
      </c>
      <c r="D174" s="45" t="s">
        <v>42</v>
      </c>
      <c r="E174" s="105"/>
      <c r="F174" s="46">
        <v>1506.9</v>
      </c>
      <c r="G174" s="46">
        <v>10000</v>
      </c>
      <c r="H174" s="46">
        <f>SUM(F174)+G174</f>
        <v>11506.9</v>
      </c>
      <c r="I174" s="47"/>
      <c r="J174" s="88"/>
      <c r="K174" s="47"/>
      <c r="L174" s="46">
        <f t="shared" si="35"/>
        <v>1506.9</v>
      </c>
      <c r="M174" s="46">
        <f t="shared" si="36"/>
        <v>10000</v>
      </c>
      <c r="N174" s="46">
        <f t="shared" si="36"/>
        <v>11506.9</v>
      </c>
      <c r="O174" s="94"/>
      <c r="P174" s="94"/>
    </row>
    <row r="175" spans="1:17" ht="29.25" customHeight="1" x14ac:dyDescent="0.2">
      <c r="A175" s="19" t="s">
        <v>218</v>
      </c>
      <c r="B175" s="20" t="s">
        <v>219</v>
      </c>
      <c r="C175" s="21" t="s">
        <v>220</v>
      </c>
      <c r="D175" s="22" t="s">
        <v>26</v>
      </c>
      <c r="E175" s="104"/>
      <c r="F175" s="23">
        <f>F186+F191+F196+F200+F180</f>
        <v>6865.4000000000005</v>
      </c>
      <c r="G175" s="46">
        <f>SUM(G181)</f>
        <v>1564</v>
      </c>
      <c r="H175" s="23">
        <f>H186+H191+H196+H200+H180+H176</f>
        <v>8429.4000000000015</v>
      </c>
      <c r="I175" s="24">
        <f>I186+I191+I196+I200</f>
        <v>9262.4</v>
      </c>
      <c r="J175" s="23">
        <f>J186+J191+J196+J200+J180</f>
        <v>3300</v>
      </c>
      <c r="K175" s="24">
        <f>K186+K191+K196+K200+J175</f>
        <v>12562.4</v>
      </c>
      <c r="L175" s="23">
        <f>L186+L191+L196+L200+L180</f>
        <v>16127.800000000001</v>
      </c>
      <c r="M175" s="23">
        <f>SUM(G175+J175)</f>
        <v>4864</v>
      </c>
      <c r="N175" s="23">
        <f>SUM(H175+K175)</f>
        <v>20991.800000000003</v>
      </c>
      <c r="O175" s="93"/>
      <c r="P175" s="93"/>
      <c r="Q175" s="25"/>
    </row>
    <row r="176" spans="1:17" ht="15.75" hidden="1" x14ac:dyDescent="0.2">
      <c r="A176" s="19"/>
      <c r="B176" s="50" t="s">
        <v>177</v>
      </c>
      <c r="C176" s="44"/>
      <c r="D176" s="22"/>
      <c r="E176" s="104"/>
      <c r="F176" s="23"/>
      <c r="G176" s="46"/>
      <c r="H176" s="23">
        <f>SUM(G176)</f>
        <v>0</v>
      </c>
      <c r="I176" s="24"/>
      <c r="J176" s="46">
        <f>SUM(J177)</f>
        <v>0</v>
      </c>
      <c r="K176" s="24">
        <f t="shared" ref="K176:K185" si="37">SUM(J176)</f>
        <v>0</v>
      </c>
      <c r="L176" s="23"/>
      <c r="M176" s="23">
        <f>SUM(G176+J176)</f>
        <v>0</v>
      </c>
      <c r="N176" s="23">
        <f>SUM(H176+K176)</f>
        <v>0</v>
      </c>
      <c r="O176" s="93"/>
      <c r="P176" s="93"/>
      <c r="Q176" s="25"/>
    </row>
    <row r="177" spans="1:17" ht="47.25" hidden="1" x14ac:dyDescent="0.2">
      <c r="A177" s="19"/>
      <c r="B177" s="43" t="s">
        <v>179</v>
      </c>
      <c r="C177" s="44" t="s">
        <v>451</v>
      </c>
      <c r="D177" s="22" t="s">
        <v>26</v>
      </c>
      <c r="E177" s="104"/>
      <c r="F177" s="23"/>
      <c r="G177" s="46"/>
      <c r="H177" s="23">
        <f>SUM(G177)</f>
        <v>0</v>
      </c>
      <c r="I177" s="24"/>
      <c r="J177" s="46">
        <f>SUM(J178)</f>
        <v>0</v>
      </c>
      <c r="K177" s="24">
        <f t="shared" si="37"/>
        <v>0</v>
      </c>
      <c r="L177" s="23"/>
      <c r="M177" s="23">
        <f>SUM(J177)+G177</f>
        <v>0</v>
      </c>
      <c r="N177" s="23">
        <f>SUM(M177)</f>
        <v>0</v>
      </c>
      <c r="O177" s="93"/>
      <c r="P177" s="93"/>
      <c r="Q177" s="25"/>
    </row>
    <row r="178" spans="1:17" ht="31.5" hidden="1" x14ac:dyDescent="0.2">
      <c r="A178" s="19"/>
      <c r="B178" s="43" t="s">
        <v>193</v>
      </c>
      <c r="C178" s="44" t="s">
        <v>451</v>
      </c>
      <c r="D178" s="22"/>
      <c r="E178" s="104"/>
      <c r="F178" s="44"/>
      <c r="G178" s="46"/>
      <c r="H178" s="23">
        <f>SUM(G178)</f>
        <v>0</v>
      </c>
      <c r="I178" s="24"/>
      <c r="J178" s="46">
        <f>SUM(J179)</f>
        <v>0</v>
      </c>
      <c r="K178" s="24">
        <f t="shared" si="37"/>
        <v>0</v>
      </c>
      <c r="L178" s="23"/>
      <c r="M178" s="23">
        <f>SUM(J178)+G178</f>
        <v>0</v>
      </c>
      <c r="N178" s="23">
        <f>SUM(M178)</f>
        <v>0</v>
      </c>
      <c r="O178" s="93"/>
      <c r="P178" s="93"/>
      <c r="Q178" s="25"/>
    </row>
    <row r="179" spans="1:17" ht="31.5" hidden="1" x14ac:dyDescent="0.2">
      <c r="A179" s="19"/>
      <c r="B179" s="43" t="s">
        <v>35</v>
      </c>
      <c r="C179" s="44" t="s">
        <v>451</v>
      </c>
      <c r="D179" s="45" t="s">
        <v>36</v>
      </c>
      <c r="E179" s="104"/>
      <c r="F179" s="23"/>
      <c r="G179" s="46"/>
      <c r="H179" s="23">
        <f>SUM(G179)</f>
        <v>0</v>
      </c>
      <c r="I179" s="24"/>
      <c r="J179" s="46"/>
      <c r="K179" s="24">
        <f t="shared" si="37"/>
        <v>0</v>
      </c>
      <c r="L179" s="23"/>
      <c r="M179" s="23">
        <f>SUM(J179)+G179</f>
        <v>0</v>
      </c>
      <c r="N179" s="23">
        <f>SUM(M179)</f>
        <v>0</v>
      </c>
      <c r="O179" s="93"/>
      <c r="P179" s="93"/>
      <c r="Q179" s="25"/>
    </row>
    <row r="180" spans="1:17" ht="15.75" x14ac:dyDescent="0.2">
      <c r="A180" s="19"/>
      <c r="B180" s="50" t="s">
        <v>221</v>
      </c>
      <c r="C180" s="51" t="s">
        <v>222</v>
      </c>
      <c r="D180" s="52"/>
      <c r="E180" s="106"/>
      <c r="F180" s="46">
        <v>1914.2</v>
      </c>
      <c r="G180" s="46">
        <f>SUM(G181)</f>
        <v>1564</v>
      </c>
      <c r="H180" s="46">
        <f>SUM(F180)+G180</f>
        <v>3478.2</v>
      </c>
      <c r="I180" s="54"/>
      <c r="J180" s="46">
        <f>SUM(J181)</f>
        <v>3300</v>
      </c>
      <c r="K180" s="47">
        <f t="shared" si="37"/>
        <v>3300</v>
      </c>
      <c r="L180" s="53">
        <f>SUM(F180)</f>
        <v>1914.2</v>
      </c>
      <c r="M180" s="53">
        <f>SUM(M181)</f>
        <v>4864</v>
      </c>
      <c r="N180" s="46">
        <f>SUM(L180+M180)</f>
        <v>6778.2</v>
      </c>
      <c r="O180" s="95"/>
      <c r="P180" s="95"/>
      <c r="Q180" s="25"/>
    </row>
    <row r="181" spans="1:17" ht="19.149999999999999" customHeight="1" x14ac:dyDescent="0.2">
      <c r="A181" s="19"/>
      <c r="B181" s="43" t="s">
        <v>223</v>
      </c>
      <c r="C181" s="44" t="s">
        <v>224</v>
      </c>
      <c r="D181" s="45"/>
      <c r="E181" s="105"/>
      <c r="F181" s="46">
        <v>1914.2</v>
      </c>
      <c r="G181" s="46">
        <f>SUM(G182)+G184</f>
        <v>1564</v>
      </c>
      <c r="H181" s="46">
        <f>SUM(F181)+G181</f>
        <v>3478.2</v>
      </c>
      <c r="I181" s="47"/>
      <c r="J181" s="46">
        <f>SUM(J182)+J184</f>
        <v>3300</v>
      </c>
      <c r="K181" s="47">
        <f t="shared" si="37"/>
        <v>3300</v>
      </c>
      <c r="L181" s="46">
        <f>SUM(F181)</f>
        <v>1914.2</v>
      </c>
      <c r="M181" s="46">
        <f>SUM(G181+J181)</f>
        <v>4864</v>
      </c>
      <c r="N181" s="46">
        <f>SUM(L181+M181)</f>
        <v>6778.2</v>
      </c>
      <c r="O181" s="94"/>
      <c r="P181" s="94"/>
      <c r="Q181" s="25"/>
    </row>
    <row r="182" spans="1:17" ht="15.75" x14ac:dyDescent="0.2">
      <c r="A182" s="19"/>
      <c r="B182" s="43" t="s">
        <v>67</v>
      </c>
      <c r="C182" s="44" t="s">
        <v>225</v>
      </c>
      <c r="D182" s="45"/>
      <c r="E182" s="105"/>
      <c r="F182" s="46">
        <v>1914.2</v>
      </c>
      <c r="G182" s="46">
        <f>SUM(G183)</f>
        <v>0</v>
      </c>
      <c r="H182" s="46">
        <f>SUM(F182)+G182</f>
        <v>1914.2</v>
      </c>
      <c r="I182" s="47"/>
      <c r="J182" s="46">
        <f>SUM(J183)</f>
        <v>0</v>
      </c>
      <c r="K182" s="47">
        <f t="shared" si="37"/>
        <v>0</v>
      </c>
      <c r="L182" s="46">
        <f>SUM(F182)</f>
        <v>1914.2</v>
      </c>
      <c r="M182" s="46">
        <f>SUM(M183)</f>
        <v>0</v>
      </c>
      <c r="N182" s="46">
        <f>SUM(L182+M182)</f>
        <v>1914.2</v>
      </c>
      <c r="O182" s="94"/>
      <c r="P182" s="94"/>
      <c r="Q182" s="25"/>
    </row>
    <row r="183" spans="1:17" ht="31.5" x14ac:dyDescent="0.2">
      <c r="A183" s="19"/>
      <c r="B183" s="43" t="s">
        <v>35</v>
      </c>
      <c r="C183" s="44" t="s">
        <v>225</v>
      </c>
      <c r="D183" s="45" t="s">
        <v>36</v>
      </c>
      <c r="E183" s="105"/>
      <c r="F183" s="46">
        <v>1914.2</v>
      </c>
      <c r="G183" s="46"/>
      <c r="H183" s="46">
        <f>SUM(F183)+G183</f>
        <v>1914.2</v>
      </c>
      <c r="I183" s="47"/>
      <c r="J183" s="88"/>
      <c r="K183" s="47">
        <f t="shared" si="37"/>
        <v>0</v>
      </c>
      <c r="L183" s="46">
        <f>SUM(F183)</f>
        <v>1914.2</v>
      </c>
      <c r="M183" s="46">
        <f>SUM(G183)+J183</f>
        <v>0</v>
      </c>
      <c r="N183" s="46">
        <f>SUM(H183+K183)</f>
        <v>1914.2</v>
      </c>
      <c r="O183" s="94"/>
      <c r="P183" s="94"/>
      <c r="Q183" s="25"/>
    </row>
    <row r="184" spans="1:17" ht="31.5" x14ac:dyDescent="0.2">
      <c r="A184" s="19"/>
      <c r="B184" s="43" t="s">
        <v>193</v>
      </c>
      <c r="C184" s="44" t="s">
        <v>451</v>
      </c>
      <c r="D184" s="45"/>
      <c r="E184" s="105"/>
      <c r="F184" s="46"/>
      <c r="G184" s="46">
        <v>1564</v>
      </c>
      <c r="H184" s="46">
        <f>SUM(G184)</f>
        <v>1564</v>
      </c>
      <c r="I184" s="47"/>
      <c r="J184" s="88">
        <v>3300</v>
      </c>
      <c r="K184" s="47">
        <f t="shared" si="37"/>
        <v>3300</v>
      </c>
      <c r="L184" s="46"/>
      <c r="M184" s="46">
        <f>SUM(G184)+J184</f>
        <v>4864</v>
      </c>
      <c r="N184" s="46">
        <f>SUM(H184)+K184</f>
        <v>4864</v>
      </c>
      <c r="O184" s="94"/>
      <c r="P184" s="94"/>
      <c r="Q184" s="25"/>
    </row>
    <row r="185" spans="1:17" ht="31.5" x14ac:dyDescent="0.2">
      <c r="A185" s="19"/>
      <c r="B185" s="43" t="s">
        <v>35</v>
      </c>
      <c r="C185" s="44" t="s">
        <v>451</v>
      </c>
      <c r="D185" s="45" t="s">
        <v>36</v>
      </c>
      <c r="E185" s="105"/>
      <c r="F185" s="46"/>
      <c r="G185" s="46">
        <v>1564</v>
      </c>
      <c r="H185" s="46">
        <f>SUM(G185)</f>
        <v>1564</v>
      </c>
      <c r="I185" s="47"/>
      <c r="J185" s="88">
        <v>3300</v>
      </c>
      <c r="K185" s="47">
        <f t="shared" si="37"/>
        <v>3300</v>
      </c>
      <c r="L185" s="46"/>
      <c r="M185" s="46">
        <f>SUM(G185)+J185</f>
        <v>4864</v>
      </c>
      <c r="N185" s="46">
        <f>SUM(H185)+K185</f>
        <v>4864</v>
      </c>
      <c r="O185" s="94"/>
      <c r="P185" s="94"/>
      <c r="Q185" s="25"/>
    </row>
    <row r="186" spans="1:17" ht="31.5" x14ac:dyDescent="0.2">
      <c r="A186" s="49"/>
      <c r="B186" s="72" t="s">
        <v>226</v>
      </c>
      <c r="C186" s="73" t="s">
        <v>227</v>
      </c>
      <c r="D186" s="74" t="s">
        <v>26</v>
      </c>
      <c r="E186" s="107"/>
      <c r="F186" s="75">
        <f t="shared" ref="F186:N187" si="38">F187</f>
        <v>330</v>
      </c>
      <c r="G186" s="75">
        <f t="shared" si="38"/>
        <v>0</v>
      </c>
      <c r="H186" s="75">
        <f t="shared" si="38"/>
        <v>330</v>
      </c>
      <c r="I186" s="76">
        <f t="shared" si="38"/>
        <v>0</v>
      </c>
      <c r="J186" s="112"/>
      <c r="K186" s="76">
        <f t="shared" si="38"/>
        <v>0</v>
      </c>
      <c r="L186" s="75">
        <f t="shared" si="38"/>
        <v>330</v>
      </c>
      <c r="M186" s="75">
        <f t="shared" si="38"/>
        <v>0</v>
      </c>
      <c r="N186" s="75">
        <f t="shared" si="38"/>
        <v>330</v>
      </c>
      <c r="O186" s="96"/>
      <c r="P186" s="96"/>
    </row>
    <row r="187" spans="1:17" ht="31.5" x14ac:dyDescent="0.2">
      <c r="A187" s="42"/>
      <c r="B187" s="43" t="s">
        <v>228</v>
      </c>
      <c r="C187" s="44" t="s">
        <v>229</v>
      </c>
      <c r="D187" s="45" t="s">
        <v>26</v>
      </c>
      <c r="E187" s="105"/>
      <c r="F187" s="46">
        <f t="shared" si="38"/>
        <v>330</v>
      </c>
      <c r="G187" s="46">
        <f t="shared" si="38"/>
        <v>0</v>
      </c>
      <c r="H187" s="46">
        <f t="shared" si="38"/>
        <v>330</v>
      </c>
      <c r="I187" s="47">
        <f t="shared" si="38"/>
        <v>0</v>
      </c>
      <c r="J187" s="88"/>
      <c r="K187" s="47">
        <f t="shared" si="38"/>
        <v>0</v>
      </c>
      <c r="L187" s="46">
        <f t="shared" si="38"/>
        <v>330</v>
      </c>
      <c r="M187" s="46">
        <f t="shared" si="38"/>
        <v>0</v>
      </c>
      <c r="N187" s="46">
        <f t="shared" si="38"/>
        <v>330</v>
      </c>
      <c r="O187" s="94"/>
      <c r="P187" s="94"/>
    </row>
    <row r="188" spans="1:17" ht="31.5" x14ac:dyDescent="0.2">
      <c r="A188" s="42"/>
      <c r="B188" s="43" t="s">
        <v>226</v>
      </c>
      <c r="C188" s="44" t="s">
        <v>230</v>
      </c>
      <c r="D188" s="45" t="s">
        <v>26</v>
      </c>
      <c r="E188" s="105"/>
      <c r="F188" s="46">
        <f>F190+F189</f>
        <v>330</v>
      </c>
      <c r="G188" s="46">
        <f>G190+G189</f>
        <v>0</v>
      </c>
      <c r="H188" s="46">
        <f>H190+H189</f>
        <v>330</v>
      </c>
      <c r="I188" s="47">
        <f>I190+I189</f>
        <v>0</v>
      </c>
      <c r="J188" s="88"/>
      <c r="K188" s="47">
        <f>K190+K189</f>
        <v>0</v>
      </c>
      <c r="L188" s="46">
        <f>L190+L189</f>
        <v>330</v>
      </c>
      <c r="M188" s="46">
        <f>M190+M189</f>
        <v>0</v>
      </c>
      <c r="N188" s="46">
        <f>N190+N189</f>
        <v>330</v>
      </c>
      <c r="O188" s="97"/>
      <c r="P188" s="97"/>
    </row>
    <row r="189" spans="1:17" ht="31.5" x14ac:dyDescent="0.2">
      <c r="A189" s="42"/>
      <c r="B189" s="43" t="s">
        <v>35</v>
      </c>
      <c r="C189" s="44" t="s">
        <v>230</v>
      </c>
      <c r="D189" s="45" t="s">
        <v>36</v>
      </c>
      <c r="E189" s="105"/>
      <c r="F189" s="46">
        <v>200</v>
      </c>
      <c r="G189" s="46"/>
      <c r="H189" s="46">
        <v>200</v>
      </c>
      <c r="I189" s="47">
        <v>0</v>
      </c>
      <c r="J189" s="88"/>
      <c r="K189" s="47">
        <v>0</v>
      </c>
      <c r="L189" s="46">
        <v>200</v>
      </c>
      <c r="M189" s="46"/>
      <c r="N189" s="46">
        <v>200</v>
      </c>
      <c r="O189" s="94"/>
      <c r="P189" s="94"/>
    </row>
    <row r="190" spans="1:17" ht="15.75" x14ac:dyDescent="0.2">
      <c r="A190" s="42"/>
      <c r="B190" s="43" t="s">
        <v>41</v>
      </c>
      <c r="C190" s="44" t="s">
        <v>230</v>
      </c>
      <c r="D190" s="45" t="s">
        <v>42</v>
      </c>
      <c r="E190" s="105"/>
      <c r="F190" s="46">
        <v>130</v>
      </c>
      <c r="G190" s="46"/>
      <c r="H190" s="46">
        <v>130</v>
      </c>
      <c r="I190" s="47">
        <v>0</v>
      </c>
      <c r="J190" s="88"/>
      <c r="K190" s="47">
        <v>0</v>
      </c>
      <c r="L190" s="46">
        <v>130</v>
      </c>
      <c r="M190" s="46"/>
      <c r="N190" s="46">
        <v>130</v>
      </c>
      <c r="O190" s="94"/>
      <c r="P190" s="94"/>
    </row>
    <row r="191" spans="1:17" ht="22.15" customHeight="1" x14ac:dyDescent="0.2">
      <c r="A191" s="49"/>
      <c r="B191" s="50" t="s">
        <v>231</v>
      </c>
      <c r="C191" s="51" t="s">
        <v>232</v>
      </c>
      <c r="D191" s="52" t="s">
        <v>26</v>
      </c>
      <c r="E191" s="106"/>
      <c r="F191" s="53">
        <f t="shared" ref="F191:N192" si="39">F192</f>
        <v>3933.6</v>
      </c>
      <c r="G191" s="53">
        <f t="shared" si="39"/>
        <v>0</v>
      </c>
      <c r="H191" s="53">
        <f t="shared" si="39"/>
        <v>3933.6</v>
      </c>
      <c r="I191" s="54">
        <f t="shared" si="39"/>
        <v>0</v>
      </c>
      <c r="J191" s="53">
        <f t="shared" si="39"/>
        <v>0</v>
      </c>
      <c r="K191" s="54">
        <f t="shared" si="39"/>
        <v>0</v>
      </c>
      <c r="L191" s="53">
        <f t="shared" si="39"/>
        <v>3933.6</v>
      </c>
      <c r="M191" s="53">
        <f t="shared" si="39"/>
        <v>0</v>
      </c>
      <c r="N191" s="53">
        <f t="shared" si="39"/>
        <v>3933.6</v>
      </c>
      <c r="O191" s="95"/>
      <c r="P191" s="95"/>
    </row>
    <row r="192" spans="1:17" ht="34.9" customHeight="1" x14ac:dyDescent="0.2">
      <c r="A192" s="42"/>
      <c r="B192" s="43" t="s">
        <v>233</v>
      </c>
      <c r="C192" s="44" t="s">
        <v>234</v>
      </c>
      <c r="D192" s="45" t="s">
        <v>26</v>
      </c>
      <c r="E192" s="105"/>
      <c r="F192" s="46">
        <f t="shared" si="39"/>
        <v>3933.6</v>
      </c>
      <c r="G192" s="46">
        <f t="shared" si="39"/>
        <v>0</v>
      </c>
      <c r="H192" s="46">
        <f t="shared" si="39"/>
        <v>3933.6</v>
      </c>
      <c r="I192" s="47">
        <f t="shared" si="39"/>
        <v>0</v>
      </c>
      <c r="J192" s="88"/>
      <c r="K192" s="47">
        <f t="shared" si="39"/>
        <v>0</v>
      </c>
      <c r="L192" s="46">
        <f t="shared" si="39"/>
        <v>3933.6</v>
      </c>
      <c r="M192" s="46">
        <f t="shared" si="39"/>
        <v>0</v>
      </c>
      <c r="N192" s="46">
        <f t="shared" si="39"/>
        <v>3933.6</v>
      </c>
      <c r="O192" s="94"/>
      <c r="P192" s="94"/>
    </row>
    <row r="193" spans="1:16" ht="31.5" x14ac:dyDescent="0.2">
      <c r="A193" s="42"/>
      <c r="B193" s="43" t="s">
        <v>39</v>
      </c>
      <c r="C193" s="44" t="s">
        <v>235</v>
      </c>
      <c r="D193" s="45" t="s">
        <v>26</v>
      </c>
      <c r="E193" s="105"/>
      <c r="F193" s="46">
        <f>F194+F195</f>
        <v>3933.6</v>
      </c>
      <c r="G193" s="46">
        <f>G194+G195</f>
        <v>0</v>
      </c>
      <c r="H193" s="46">
        <f>H194+H195</f>
        <v>3933.6</v>
      </c>
      <c r="I193" s="47">
        <f>I194+I195</f>
        <v>0</v>
      </c>
      <c r="J193" s="88"/>
      <c r="K193" s="47">
        <f>K194+K195</f>
        <v>0</v>
      </c>
      <c r="L193" s="46">
        <f>L194+L195</f>
        <v>3933.6</v>
      </c>
      <c r="M193" s="46">
        <f>M194+M195</f>
        <v>0</v>
      </c>
      <c r="N193" s="46">
        <f>N194+N195</f>
        <v>3933.6</v>
      </c>
      <c r="O193" s="94"/>
      <c r="P193" s="94"/>
    </row>
    <row r="194" spans="1:16" ht="66" customHeight="1" x14ac:dyDescent="0.2">
      <c r="A194" s="42"/>
      <c r="B194" s="43" t="s">
        <v>31</v>
      </c>
      <c r="C194" s="44" t="s">
        <v>235</v>
      </c>
      <c r="D194" s="45" t="s">
        <v>32</v>
      </c>
      <c r="E194" s="105"/>
      <c r="F194" s="46">
        <v>3788.1</v>
      </c>
      <c r="G194" s="46"/>
      <c r="H194" s="46">
        <v>3788.1</v>
      </c>
      <c r="I194" s="47">
        <v>0</v>
      </c>
      <c r="J194" s="88"/>
      <c r="K194" s="47">
        <v>0</v>
      </c>
      <c r="L194" s="46">
        <v>3788.1</v>
      </c>
      <c r="M194" s="46"/>
      <c r="N194" s="46">
        <v>3788.1</v>
      </c>
      <c r="O194" s="94"/>
      <c r="P194" s="94"/>
    </row>
    <row r="195" spans="1:16" ht="31.5" x14ac:dyDescent="0.2">
      <c r="A195" s="42"/>
      <c r="B195" s="43" t="s">
        <v>35</v>
      </c>
      <c r="C195" s="44" t="s">
        <v>235</v>
      </c>
      <c r="D195" s="45" t="s">
        <v>36</v>
      </c>
      <c r="E195" s="105"/>
      <c r="F195" s="46">
        <v>145.5</v>
      </c>
      <c r="G195" s="46"/>
      <c r="H195" s="46">
        <v>145.5</v>
      </c>
      <c r="I195" s="47">
        <v>0</v>
      </c>
      <c r="J195" s="88"/>
      <c r="K195" s="47">
        <v>0</v>
      </c>
      <c r="L195" s="46">
        <v>145.5</v>
      </c>
      <c r="M195" s="46"/>
      <c r="N195" s="46">
        <v>145.5</v>
      </c>
      <c r="O195" s="94"/>
      <c r="P195" s="94"/>
    </row>
    <row r="196" spans="1:16" ht="48.6" customHeight="1" x14ac:dyDescent="0.2">
      <c r="A196" s="49"/>
      <c r="B196" s="50" t="s">
        <v>236</v>
      </c>
      <c r="C196" s="51" t="s">
        <v>237</v>
      </c>
      <c r="D196" s="52" t="s">
        <v>26</v>
      </c>
      <c r="E196" s="106"/>
      <c r="F196" s="53">
        <f t="shared" ref="F196:N198" si="40">F197</f>
        <v>200</v>
      </c>
      <c r="G196" s="53">
        <f t="shared" si="40"/>
        <v>0</v>
      </c>
      <c r="H196" s="53">
        <f t="shared" si="40"/>
        <v>200</v>
      </c>
      <c r="I196" s="54">
        <f t="shared" si="40"/>
        <v>0</v>
      </c>
      <c r="J196" s="53">
        <f>J197</f>
        <v>0</v>
      </c>
      <c r="K196" s="54">
        <f t="shared" si="40"/>
        <v>0</v>
      </c>
      <c r="L196" s="53">
        <f t="shared" si="40"/>
        <v>200</v>
      </c>
      <c r="M196" s="53">
        <f t="shared" si="40"/>
        <v>0</v>
      </c>
      <c r="N196" s="53">
        <f t="shared" si="40"/>
        <v>200</v>
      </c>
      <c r="O196" s="95"/>
      <c r="P196" s="95"/>
    </row>
    <row r="197" spans="1:16" ht="33.6" customHeight="1" x14ac:dyDescent="0.2">
      <c r="A197" s="42"/>
      <c r="B197" s="43" t="s">
        <v>238</v>
      </c>
      <c r="C197" s="44" t="s">
        <v>239</v>
      </c>
      <c r="D197" s="45" t="s">
        <v>26</v>
      </c>
      <c r="E197" s="105"/>
      <c r="F197" s="46">
        <f t="shared" si="40"/>
        <v>200</v>
      </c>
      <c r="G197" s="46">
        <f t="shared" si="40"/>
        <v>0</v>
      </c>
      <c r="H197" s="46">
        <f t="shared" si="40"/>
        <v>200</v>
      </c>
      <c r="I197" s="47">
        <f t="shared" si="40"/>
        <v>0</v>
      </c>
      <c r="J197" s="88"/>
      <c r="K197" s="47">
        <f t="shared" si="40"/>
        <v>0</v>
      </c>
      <c r="L197" s="46">
        <f t="shared" si="40"/>
        <v>200</v>
      </c>
      <c r="M197" s="46">
        <f t="shared" si="40"/>
        <v>0</v>
      </c>
      <c r="N197" s="46">
        <f t="shared" si="40"/>
        <v>200</v>
      </c>
      <c r="O197" s="94"/>
      <c r="P197" s="94"/>
    </row>
    <row r="198" spans="1:16" ht="15.75" x14ac:dyDescent="0.2">
      <c r="A198" s="42"/>
      <c r="B198" s="43" t="s">
        <v>240</v>
      </c>
      <c r="C198" s="44" t="s">
        <v>241</v>
      </c>
      <c r="D198" s="45" t="s">
        <v>26</v>
      </c>
      <c r="E198" s="105"/>
      <c r="F198" s="46">
        <f t="shared" si="40"/>
        <v>200</v>
      </c>
      <c r="G198" s="46">
        <f t="shared" si="40"/>
        <v>0</v>
      </c>
      <c r="H198" s="46">
        <f t="shared" si="40"/>
        <v>200</v>
      </c>
      <c r="I198" s="47">
        <f t="shared" si="40"/>
        <v>0</v>
      </c>
      <c r="J198" s="88"/>
      <c r="K198" s="47">
        <f t="shared" si="40"/>
        <v>0</v>
      </c>
      <c r="L198" s="46">
        <f t="shared" si="40"/>
        <v>200</v>
      </c>
      <c r="M198" s="46">
        <f t="shared" si="40"/>
        <v>0</v>
      </c>
      <c r="N198" s="46">
        <f t="shared" si="40"/>
        <v>200</v>
      </c>
      <c r="O198" s="94"/>
      <c r="P198" s="94"/>
    </row>
    <row r="199" spans="1:16" ht="31.5" x14ac:dyDescent="0.2">
      <c r="A199" s="42"/>
      <c r="B199" s="43" t="s">
        <v>35</v>
      </c>
      <c r="C199" s="44" t="s">
        <v>241</v>
      </c>
      <c r="D199" s="45" t="s">
        <v>36</v>
      </c>
      <c r="E199" s="105"/>
      <c r="F199" s="46">
        <v>200</v>
      </c>
      <c r="G199" s="46"/>
      <c r="H199" s="46">
        <v>200</v>
      </c>
      <c r="I199" s="47">
        <v>0</v>
      </c>
      <c r="J199" s="88"/>
      <c r="K199" s="47">
        <v>0</v>
      </c>
      <c r="L199" s="46">
        <v>200</v>
      </c>
      <c r="M199" s="46"/>
      <c r="N199" s="46">
        <v>200</v>
      </c>
      <c r="O199" s="94"/>
      <c r="P199" s="94"/>
    </row>
    <row r="200" spans="1:16" ht="15.75" x14ac:dyDescent="0.2">
      <c r="A200" s="49"/>
      <c r="B200" s="50" t="s">
        <v>140</v>
      </c>
      <c r="C200" s="51" t="s">
        <v>242</v>
      </c>
      <c r="D200" s="52" t="s">
        <v>26</v>
      </c>
      <c r="E200" s="106"/>
      <c r="F200" s="53">
        <f t="shared" ref="F200:N202" si="41">F201</f>
        <v>487.6</v>
      </c>
      <c r="G200" s="53">
        <f t="shared" si="41"/>
        <v>0</v>
      </c>
      <c r="H200" s="53">
        <f t="shared" si="41"/>
        <v>487.6</v>
      </c>
      <c r="I200" s="54">
        <f t="shared" si="41"/>
        <v>9262.4</v>
      </c>
      <c r="J200" s="53">
        <f>J201</f>
        <v>0</v>
      </c>
      <c r="K200" s="54">
        <f t="shared" si="41"/>
        <v>9262.4</v>
      </c>
      <c r="L200" s="53">
        <f t="shared" si="41"/>
        <v>9750</v>
      </c>
      <c r="M200" s="53">
        <f t="shared" si="41"/>
        <v>0</v>
      </c>
      <c r="N200" s="53">
        <f t="shared" si="41"/>
        <v>9750</v>
      </c>
      <c r="O200" s="95"/>
      <c r="P200" s="95"/>
    </row>
    <row r="201" spans="1:16" ht="31.5" x14ac:dyDescent="0.2">
      <c r="A201" s="42"/>
      <c r="B201" s="43" t="s">
        <v>243</v>
      </c>
      <c r="C201" s="44" t="s">
        <v>244</v>
      </c>
      <c r="D201" s="45" t="s">
        <v>26</v>
      </c>
      <c r="E201" s="105"/>
      <c r="F201" s="46">
        <f t="shared" si="41"/>
        <v>487.6</v>
      </c>
      <c r="G201" s="46">
        <f t="shared" si="41"/>
        <v>0</v>
      </c>
      <c r="H201" s="46">
        <f t="shared" si="41"/>
        <v>487.6</v>
      </c>
      <c r="I201" s="47">
        <f t="shared" si="41"/>
        <v>9262.4</v>
      </c>
      <c r="J201" s="88"/>
      <c r="K201" s="47">
        <f t="shared" si="41"/>
        <v>9262.4</v>
      </c>
      <c r="L201" s="46">
        <f t="shared" si="41"/>
        <v>9750</v>
      </c>
      <c r="M201" s="46">
        <f t="shared" si="41"/>
        <v>0</v>
      </c>
      <c r="N201" s="46">
        <f t="shared" si="41"/>
        <v>9750</v>
      </c>
      <c r="O201" s="94"/>
      <c r="P201" s="94"/>
    </row>
    <row r="202" spans="1:16" ht="69.599999999999994" customHeight="1" x14ac:dyDescent="0.2">
      <c r="A202" s="42"/>
      <c r="B202" s="43" t="s">
        <v>245</v>
      </c>
      <c r="C202" s="44" t="s">
        <v>246</v>
      </c>
      <c r="D202" s="45" t="s">
        <v>26</v>
      </c>
      <c r="E202" s="105"/>
      <c r="F202" s="46">
        <f t="shared" si="41"/>
        <v>487.6</v>
      </c>
      <c r="G202" s="46">
        <f t="shared" si="41"/>
        <v>0</v>
      </c>
      <c r="H202" s="46">
        <f t="shared" si="41"/>
        <v>487.6</v>
      </c>
      <c r="I202" s="47">
        <f t="shared" si="41"/>
        <v>9262.4</v>
      </c>
      <c r="J202" s="88"/>
      <c r="K202" s="47">
        <f t="shared" si="41"/>
        <v>9262.4</v>
      </c>
      <c r="L202" s="46">
        <f t="shared" si="41"/>
        <v>9750</v>
      </c>
      <c r="M202" s="46">
        <f t="shared" si="41"/>
        <v>0</v>
      </c>
      <c r="N202" s="46">
        <f t="shared" si="41"/>
        <v>9750</v>
      </c>
      <c r="O202" s="94"/>
      <c r="P202" s="94"/>
    </row>
    <row r="203" spans="1:16" ht="31.5" x14ac:dyDescent="0.2">
      <c r="A203" s="42"/>
      <c r="B203" s="43" t="s">
        <v>131</v>
      </c>
      <c r="C203" s="44" t="s">
        <v>246</v>
      </c>
      <c r="D203" s="45" t="s">
        <v>132</v>
      </c>
      <c r="E203" s="105"/>
      <c r="F203" s="46">
        <v>487.6</v>
      </c>
      <c r="G203" s="46"/>
      <c r="H203" s="46">
        <f>487.6+G203</f>
        <v>487.6</v>
      </c>
      <c r="I203" s="47">
        <v>9262.4</v>
      </c>
      <c r="J203" s="88"/>
      <c r="K203" s="47">
        <v>9262.4</v>
      </c>
      <c r="L203" s="46">
        <f>487.6+I203</f>
        <v>9750</v>
      </c>
      <c r="M203" s="46">
        <f>SUM(G203)</f>
        <v>0</v>
      </c>
      <c r="N203" s="46">
        <f>487.6+K203+M203</f>
        <v>9750</v>
      </c>
      <c r="O203" s="94"/>
      <c r="P203" s="94"/>
    </row>
    <row r="204" spans="1:16" ht="31.5" x14ac:dyDescent="0.2">
      <c r="A204" s="19" t="s">
        <v>247</v>
      </c>
      <c r="B204" s="20" t="s">
        <v>248</v>
      </c>
      <c r="C204" s="21" t="s">
        <v>249</v>
      </c>
      <c r="D204" s="22" t="s">
        <v>26</v>
      </c>
      <c r="E204" s="104"/>
      <c r="F204" s="23">
        <f t="shared" ref="F204:N204" si="42">F205+F209</f>
        <v>5236</v>
      </c>
      <c r="G204" s="23">
        <f t="shared" si="42"/>
        <v>0</v>
      </c>
      <c r="H204" s="23">
        <f t="shared" si="42"/>
        <v>5236</v>
      </c>
      <c r="I204" s="24">
        <f t="shared" si="42"/>
        <v>0</v>
      </c>
      <c r="J204" s="23">
        <f t="shared" si="42"/>
        <v>0</v>
      </c>
      <c r="K204" s="24">
        <f t="shared" si="42"/>
        <v>0</v>
      </c>
      <c r="L204" s="23">
        <f t="shared" si="42"/>
        <v>5236</v>
      </c>
      <c r="M204" s="23">
        <f t="shared" si="42"/>
        <v>0</v>
      </c>
      <c r="N204" s="23">
        <f t="shared" si="42"/>
        <v>5236</v>
      </c>
      <c r="O204" s="93"/>
      <c r="P204" s="93"/>
    </row>
    <row r="205" spans="1:16" ht="15.75" x14ac:dyDescent="0.2">
      <c r="A205" s="49"/>
      <c r="B205" s="50" t="s">
        <v>250</v>
      </c>
      <c r="C205" s="51" t="s">
        <v>251</v>
      </c>
      <c r="D205" s="52" t="s">
        <v>26</v>
      </c>
      <c r="E205" s="106"/>
      <c r="F205" s="53">
        <f t="shared" ref="F205:N207" si="43">F206</f>
        <v>3500</v>
      </c>
      <c r="G205" s="53">
        <f t="shared" si="43"/>
        <v>0</v>
      </c>
      <c r="H205" s="53">
        <f t="shared" si="43"/>
        <v>3500</v>
      </c>
      <c r="I205" s="54">
        <f t="shared" si="43"/>
        <v>0</v>
      </c>
      <c r="J205" s="53">
        <f>J206</f>
        <v>0</v>
      </c>
      <c r="K205" s="54">
        <f t="shared" si="43"/>
        <v>0</v>
      </c>
      <c r="L205" s="53">
        <f t="shared" si="43"/>
        <v>3500</v>
      </c>
      <c r="M205" s="53">
        <f t="shared" si="43"/>
        <v>0</v>
      </c>
      <c r="N205" s="53">
        <f t="shared" si="43"/>
        <v>3500</v>
      </c>
      <c r="O205" s="95"/>
      <c r="P205" s="95"/>
    </row>
    <row r="206" spans="1:16" ht="31.5" x14ac:dyDescent="0.2">
      <c r="A206" s="42"/>
      <c r="B206" s="43" t="s">
        <v>252</v>
      </c>
      <c r="C206" s="44" t="s">
        <v>253</v>
      </c>
      <c r="D206" s="45" t="s">
        <v>26</v>
      </c>
      <c r="E206" s="105"/>
      <c r="F206" s="46">
        <f t="shared" si="43"/>
        <v>3500</v>
      </c>
      <c r="G206" s="46">
        <f t="shared" si="43"/>
        <v>0</v>
      </c>
      <c r="H206" s="46">
        <f t="shared" si="43"/>
        <v>3500</v>
      </c>
      <c r="I206" s="47">
        <f t="shared" si="43"/>
        <v>0</v>
      </c>
      <c r="J206" s="88"/>
      <c r="K206" s="47">
        <f t="shared" si="43"/>
        <v>0</v>
      </c>
      <c r="L206" s="46">
        <f t="shared" si="43"/>
        <v>3500</v>
      </c>
      <c r="M206" s="46">
        <f t="shared" si="43"/>
        <v>0</v>
      </c>
      <c r="N206" s="46">
        <f t="shared" si="43"/>
        <v>3500</v>
      </c>
      <c r="O206" s="94"/>
      <c r="P206" s="94"/>
    </row>
    <row r="207" spans="1:16" ht="31.5" x14ac:dyDescent="0.2">
      <c r="A207" s="42"/>
      <c r="B207" s="43" t="s">
        <v>254</v>
      </c>
      <c r="C207" s="44" t="s">
        <v>255</v>
      </c>
      <c r="D207" s="45" t="s">
        <v>26</v>
      </c>
      <c r="E207" s="105"/>
      <c r="F207" s="46">
        <f t="shared" si="43"/>
        <v>3500</v>
      </c>
      <c r="G207" s="46">
        <f t="shared" si="43"/>
        <v>0</v>
      </c>
      <c r="H207" s="46">
        <f t="shared" si="43"/>
        <v>3500</v>
      </c>
      <c r="I207" s="47">
        <f t="shared" si="43"/>
        <v>0</v>
      </c>
      <c r="J207" s="88"/>
      <c r="K207" s="47">
        <f t="shared" si="43"/>
        <v>0</v>
      </c>
      <c r="L207" s="46">
        <f t="shared" si="43"/>
        <v>3500</v>
      </c>
      <c r="M207" s="46">
        <f t="shared" si="43"/>
        <v>0</v>
      </c>
      <c r="N207" s="46">
        <f t="shared" si="43"/>
        <v>3500</v>
      </c>
      <c r="O207" s="94"/>
      <c r="P207" s="94"/>
    </row>
    <row r="208" spans="1:16" ht="31.5" x14ac:dyDescent="0.2">
      <c r="A208" s="42"/>
      <c r="B208" s="43" t="s">
        <v>35</v>
      </c>
      <c r="C208" s="44" t="s">
        <v>255</v>
      </c>
      <c r="D208" s="45" t="s">
        <v>36</v>
      </c>
      <c r="E208" s="105"/>
      <c r="F208" s="46">
        <v>3500</v>
      </c>
      <c r="G208" s="46"/>
      <c r="H208" s="46">
        <v>3500</v>
      </c>
      <c r="I208" s="47">
        <v>0</v>
      </c>
      <c r="J208" s="88"/>
      <c r="K208" s="47">
        <v>0</v>
      </c>
      <c r="L208" s="46">
        <v>3500</v>
      </c>
      <c r="M208" s="46"/>
      <c r="N208" s="46">
        <v>3500</v>
      </c>
      <c r="O208" s="94"/>
      <c r="P208" s="94"/>
    </row>
    <row r="209" spans="1:17" ht="15.75" x14ac:dyDescent="0.2">
      <c r="A209" s="49"/>
      <c r="B209" s="50" t="s">
        <v>256</v>
      </c>
      <c r="C209" s="51" t="s">
        <v>257</v>
      </c>
      <c r="D209" s="52" t="s">
        <v>26</v>
      </c>
      <c r="E209" s="106"/>
      <c r="F209" s="53">
        <f t="shared" ref="F209:N211" si="44">F210</f>
        <v>1736</v>
      </c>
      <c r="G209" s="53">
        <f t="shared" si="44"/>
        <v>0</v>
      </c>
      <c r="H209" s="53">
        <f t="shared" si="44"/>
        <v>1736</v>
      </c>
      <c r="I209" s="54">
        <f t="shared" si="44"/>
        <v>0</v>
      </c>
      <c r="J209" s="53">
        <f>J210</f>
        <v>0</v>
      </c>
      <c r="K209" s="54">
        <f t="shared" si="44"/>
        <v>0</v>
      </c>
      <c r="L209" s="53">
        <f t="shared" si="44"/>
        <v>1736</v>
      </c>
      <c r="M209" s="53">
        <f t="shared" si="44"/>
        <v>0</v>
      </c>
      <c r="N209" s="53">
        <f t="shared" si="44"/>
        <v>1736</v>
      </c>
      <c r="O209" s="95"/>
      <c r="P209" s="95"/>
    </row>
    <row r="210" spans="1:17" ht="31.5" x14ac:dyDescent="0.2">
      <c r="A210" s="42"/>
      <c r="B210" s="43" t="s">
        <v>258</v>
      </c>
      <c r="C210" s="44" t="s">
        <v>259</v>
      </c>
      <c r="D210" s="45" t="s">
        <v>26</v>
      </c>
      <c r="E210" s="105"/>
      <c r="F210" s="46">
        <f t="shared" si="44"/>
        <v>1736</v>
      </c>
      <c r="G210" s="46">
        <f t="shared" si="44"/>
        <v>0</v>
      </c>
      <c r="H210" s="46">
        <f t="shared" si="44"/>
        <v>1736</v>
      </c>
      <c r="I210" s="47">
        <f t="shared" si="44"/>
        <v>0</v>
      </c>
      <c r="J210" s="88"/>
      <c r="K210" s="47">
        <f t="shared" si="44"/>
        <v>0</v>
      </c>
      <c r="L210" s="46">
        <f t="shared" si="44"/>
        <v>1736</v>
      </c>
      <c r="M210" s="46">
        <f t="shared" si="44"/>
        <v>0</v>
      </c>
      <c r="N210" s="46">
        <f t="shared" si="44"/>
        <v>1736</v>
      </c>
      <c r="O210" s="94"/>
      <c r="P210" s="94"/>
    </row>
    <row r="211" spans="1:17" ht="31.5" x14ac:dyDescent="0.2">
      <c r="A211" s="42"/>
      <c r="B211" s="43" t="s">
        <v>254</v>
      </c>
      <c r="C211" s="44" t="s">
        <v>260</v>
      </c>
      <c r="D211" s="45" t="s">
        <v>26</v>
      </c>
      <c r="E211" s="105"/>
      <c r="F211" s="46">
        <f t="shared" si="44"/>
        <v>1736</v>
      </c>
      <c r="G211" s="46">
        <f t="shared" si="44"/>
        <v>0</v>
      </c>
      <c r="H211" s="46">
        <f t="shared" si="44"/>
        <v>1736</v>
      </c>
      <c r="I211" s="47">
        <f t="shared" si="44"/>
        <v>0</v>
      </c>
      <c r="J211" s="88"/>
      <c r="K211" s="47">
        <f t="shared" si="44"/>
        <v>0</v>
      </c>
      <c r="L211" s="46">
        <f t="shared" si="44"/>
        <v>1736</v>
      </c>
      <c r="M211" s="46">
        <f t="shared" si="44"/>
        <v>0</v>
      </c>
      <c r="N211" s="46">
        <f t="shared" si="44"/>
        <v>1736</v>
      </c>
      <c r="O211" s="94"/>
      <c r="P211" s="94"/>
    </row>
    <row r="212" spans="1:17" ht="63" x14ac:dyDescent="0.2">
      <c r="A212" s="42"/>
      <c r="B212" s="43" t="s">
        <v>261</v>
      </c>
      <c r="C212" s="44" t="s">
        <v>260</v>
      </c>
      <c r="D212" s="45" t="s">
        <v>36</v>
      </c>
      <c r="E212" s="105"/>
      <c r="F212" s="46">
        <v>1736</v>
      </c>
      <c r="G212" s="46"/>
      <c r="H212" s="46">
        <v>1736</v>
      </c>
      <c r="I212" s="47">
        <v>0</v>
      </c>
      <c r="J212" s="88"/>
      <c r="K212" s="47">
        <v>0</v>
      </c>
      <c r="L212" s="46">
        <v>1736</v>
      </c>
      <c r="M212" s="46"/>
      <c r="N212" s="46">
        <v>1736</v>
      </c>
      <c r="O212" s="94"/>
      <c r="P212" s="94"/>
    </row>
    <row r="213" spans="1:17" ht="31.5" x14ac:dyDescent="0.2">
      <c r="A213" s="19" t="s">
        <v>262</v>
      </c>
      <c r="B213" s="20" t="s">
        <v>263</v>
      </c>
      <c r="C213" s="21" t="s">
        <v>264</v>
      </c>
      <c r="D213" s="22" t="s">
        <v>26</v>
      </c>
      <c r="E213" s="104"/>
      <c r="F213" s="23">
        <f t="shared" ref="F213:N213" si="45">F214+F234+F238+F244+F248</f>
        <v>39640</v>
      </c>
      <c r="G213" s="23">
        <f t="shared" si="45"/>
        <v>2825.8</v>
      </c>
      <c r="H213" s="23">
        <f t="shared" si="45"/>
        <v>42465.8</v>
      </c>
      <c r="I213" s="24">
        <f t="shared" si="45"/>
        <v>0</v>
      </c>
      <c r="J213" s="23">
        <f t="shared" si="45"/>
        <v>0</v>
      </c>
      <c r="K213" s="24">
        <f t="shared" si="45"/>
        <v>0</v>
      </c>
      <c r="L213" s="23">
        <f t="shared" si="45"/>
        <v>39640</v>
      </c>
      <c r="M213" s="23">
        <f t="shared" si="45"/>
        <v>2825.8</v>
      </c>
      <c r="N213" s="23">
        <f t="shared" si="45"/>
        <v>42465.8</v>
      </c>
      <c r="O213" s="93"/>
      <c r="P213" s="93"/>
      <c r="Q213" s="25"/>
    </row>
    <row r="214" spans="1:17" ht="49.9" customHeight="1" x14ac:dyDescent="0.2">
      <c r="A214" s="49"/>
      <c r="B214" s="50" t="s">
        <v>265</v>
      </c>
      <c r="C214" s="51" t="s">
        <v>266</v>
      </c>
      <c r="D214" s="52" t="s">
        <v>26</v>
      </c>
      <c r="E214" s="106"/>
      <c r="F214" s="53">
        <f t="shared" ref="F214:N214" si="46">F215+F224+F227</f>
        <v>30402.799999999999</v>
      </c>
      <c r="G214" s="53">
        <f t="shared" si="46"/>
        <v>2258.8000000000002</v>
      </c>
      <c r="H214" s="53">
        <f t="shared" si="46"/>
        <v>32661.599999999999</v>
      </c>
      <c r="I214" s="54">
        <f t="shared" si="46"/>
        <v>0</v>
      </c>
      <c r="J214" s="53">
        <f t="shared" si="46"/>
        <v>0</v>
      </c>
      <c r="K214" s="54">
        <f t="shared" si="46"/>
        <v>0</v>
      </c>
      <c r="L214" s="53">
        <f t="shared" si="46"/>
        <v>30402.799999999999</v>
      </c>
      <c r="M214" s="53">
        <f t="shared" si="46"/>
        <v>2258.8000000000002</v>
      </c>
      <c r="N214" s="53">
        <f t="shared" si="46"/>
        <v>32661.599999999999</v>
      </c>
      <c r="O214" s="95"/>
      <c r="P214" s="95"/>
      <c r="Q214" s="55"/>
    </row>
    <row r="215" spans="1:17" ht="50.45" customHeight="1" x14ac:dyDescent="0.2">
      <c r="A215" s="42"/>
      <c r="B215" s="43" t="s">
        <v>267</v>
      </c>
      <c r="C215" s="44" t="s">
        <v>268</v>
      </c>
      <c r="D215" s="45" t="s">
        <v>26</v>
      </c>
      <c r="E215" s="105"/>
      <c r="F215" s="46">
        <f>F216+F220+F222</f>
        <v>15302.1</v>
      </c>
      <c r="G215" s="46">
        <f>G216+G220+G222</f>
        <v>2258.8000000000002</v>
      </c>
      <c r="H215" s="46">
        <f>H216+H220+H222</f>
        <v>17560.900000000001</v>
      </c>
      <c r="I215" s="47">
        <f>I216+I220+I222</f>
        <v>0</v>
      </c>
      <c r="J215" s="88"/>
      <c r="K215" s="47">
        <f>K216+K220+K222</f>
        <v>0</v>
      </c>
      <c r="L215" s="46">
        <f>L216+L220+L222</f>
        <v>15302.1</v>
      </c>
      <c r="M215" s="46">
        <f>M216+M220+M222</f>
        <v>2258.8000000000002</v>
      </c>
      <c r="N215" s="46">
        <f>N216+N220+N222</f>
        <v>17560.900000000001</v>
      </c>
      <c r="O215" s="94"/>
      <c r="P215" s="94"/>
      <c r="Q215" s="48"/>
    </row>
    <row r="216" spans="1:17" ht="31.5" x14ac:dyDescent="0.2">
      <c r="A216" s="42"/>
      <c r="B216" s="43" t="s">
        <v>39</v>
      </c>
      <c r="C216" s="44" t="s">
        <v>269</v>
      </c>
      <c r="D216" s="45" t="s">
        <v>26</v>
      </c>
      <c r="E216" s="105"/>
      <c r="F216" s="46">
        <f>F217+F218+F219</f>
        <v>10737.1</v>
      </c>
      <c r="G216" s="46">
        <f>G217+G218+G219</f>
        <v>0</v>
      </c>
      <c r="H216" s="46">
        <f>H217+H218+H219</f>
        <v>10737.1</v>
      </c>
      <c r="I216" s="47">
        <f>I217+I218+I219</f>
        <v>0</v>
      </c>
      <c r="J216" s="88"/>
      <c r="K216" s="47">
        <f>K217+K218+K219</f>
        <v>0</v>
      </c>
      <c r="L216" s="46">
        <f>L217+L218+L219</f>
        <v>10737.1</v>
      </c>
      <c r="M216" s="46">
        <f>M217+M218+M219</f>
        <v>0</v>
      </c>
      <c r="N216" s="46">
        <f>N217+N218+N219</f>
        <v>10737.1</v>
      </c>
      <c r="O216" s="94"/>
      <c r="P216" s="94"/>
    </row>
    <row r="217" spans="1:17" ht="64.900000000000006" customHeight="1" x14ac:dyDescent="0.2">
      <c r="A217" s="42"/>
      <c r="B217" s="43" t="s">
        <v>31</v>
      </c>
      <c r="C217" s="44" t="s">
        <v>269</v>
      </c>
      <c r="D217" s="45" t="s">
        <v>32</v>
      </c>
      <c r="E217" s="105"/>
      <c r="F217" s="46">
        <v>9374.7000000000007</v>
      </c>
      <c r="G217" s="46"/>
      <c r="H217" s="46">
        <v>9374.7000000000007</v>
      </c>
      <c r="I217" s="47">
        <v>0</v>
      </c>
      <c r="J217" s="88"/>
      <c r="K217" s="47">
        <v>0</v>
      </c>
      <c r="L217" s="46">
        <f t="shared" ref="L217:N218" si="47">SUM(F217)</f>
        <v>9374.7000000000007</v>
      </c>
      <c r="M217" s="46">
        <f t="shared" si="47"/>
        <v>0</v>
      </c>
      <c r="N217" s="46">
        <f t="shared" si="47"/>
        <v>9374.7000000000007</v>
      </c>
      <c r="O217" s="94"/>
      <c r="P217" s="94"/>
    </row>
    <row r="218" spans="1:17" ht="31.5" x14ac:dyDescent="0.2">
      <c r="A218" s="42"/>
      <c r="B218" s="43" t="s">
        <v>35</v>
      </c>
      <c r="C218" s="44" t="s">
        <v>269</v>
      </c>
      <c r="D218" s="45" t="s">
        <v>36</v>
      </c>
      <c r="E218" s="105"/>
      <c r="F218" s="46">
        <v>1339.4</v>
      </c>
      <c r="G218" s="46"/>
      <c r="H218" s="46">
        <v>1339.4</v>
      </c>
      <c r="I218" s="47">
        <v>0</v>
      </c>
      <c r="J218" s="88"/>
      <c r="K218" s="47">
        <v>0</v>
      </c>
      <c r="L218" s="46">
        <f t="shared" si="47"/>
        <v>1339.4</v>
      </c>
      <c r="M218" s="46">
        <f t="shared" si="47"/>
        <v>0</v>
      </c>
      <c r="N218" s="46">
        <f t="shared" si="47"/>
        <v>1339.4</v>
      </c>
      <c r="O218" s="94"/>
      <c r="P218" s="94"/>
    </row>
    <row r="219" spans="1:17" ht="15.75" x14ac:dyDescent="0.2">
      <c r="A219" s="42"/>
      <c r="B219" s="43" t="s">
        <v>41</v>
      </c>
      <c r="C219" s="44" t="s">
        <v>269</v>
      </c>
      <c r="D219" s="45" t="s">
        <v>42</v>
      </c>
      <c r="E219" s="105"/>
      <c r="F219" s="46">
        <v>23</v>
      </c>
      <c r="G219" s="46"/>
      <c r="H219" s="46">
        <v>23</v>
      </c>
      <c r="I219" s="47">
        <v>0</v>
      </c>
      <c r="J219" s="88"/>
      <c r="K219" s="47">
        <v>0</v>
      </c>
      <c r="L219" s="46">
        <v>23</v>
      </c>
      <c r="M219" s="46"/>
      <c r="N219" s="46">
        <v>23</v>
      </c>
      <c r="O219" s="94"/>
      <c r="P219" s="94"/>
    </row>
    <row r="220" spans="1:17" ht="48.6" customHeight="1" x14ac:dyDescent="0.2">
      <c r="A220" s="42"/>
      <c r="B220" s="43" t="s">
        <v>270</v>
      </c>
      <c r="C220" s="44" t="s">
        <v>271</v>
      </c>
      <c r="D220" s="45" t="s">
        <v>26</v>
      </c>
      <c r="E220" s="105"/>
      <c r="F220" s="46">
        <f>F221</f>
        <v>3565</v>
      </c>
      <c r="G220" s="46">
        <f>G221</f>
        <v>2258.8000000000002</v>
      </c>
      <c r="H220" s="46">
        <f>H221</f>
        <v>5823.8</v>
      </c>
      <c r="I220" s="47">
        <f>I221</f>
        <v>0</v>
      </c>
      <c r="J220" s="88"/>
      <c r="K220" s="47">
        <f>K221</f>
        <v>0</v>
      </c>
      <c r="L220" s="46">
        <f>L221</f>
        <v>3565</v>
      </c>
      <c r="M220" s="46">
        <f>M221</f>
        <v>2258.8000000000002</v>
      </c>
      <c r="N220" s="46">
        <f>N221</f>
        <v>5823.8</v>
      </c>
      <c r="O220" s="94"/>
      <c r="P220" s="94"/>
    </row>
    <row r="221" spans="1:17" ht="31.5" x14ac:dyDescent="0.2">
      <c r="A221" s="42"/>
      <c r="B221" s="43" t="s">
        <v>35</v>
      </c>
      <c r="C221" s="44" t="s">
        <v>271</v>
      </c>
      <c r="D221" s="45" t="s">
        <v>36</v>
      </c>
      <c r="E221" s="105"/>
      <c r="F221" s="56">
        <v>3565</v>
      </c>
      <c r="G221" s="56">
        <f>1719.9+538.9</f>
        <v>2258.8000000000002</v>
      </c>
      <c r="H221" s="56">
        <f>3565+G221</f>
        <v>5823.8</v>
      </c>
      <c r="I221" s="47">
        <v>0</v>
      </c>
      <c r="J221" s="111"/>
      <c r="K221" s="47">
        <v>0</v>
      </c>
      <c r="L221" s="56">
        <f>SUM(F221)</f>
        <v>3565</v>
      </c>
      <c r="M221" s="56">
        <f>SUM(G221)</f>
        <v>2258.8000000000002</v>
      </c>
      <c r="N221" s="56">
        <f>SUM(H221)</f>
        <v>5823.8</v>
      </c>
      <c r="O221" s="94"/>
      <c r="P221" s="94"/>
    </row>
    <row r="222" spans="1:17" ht="47.25" x14ac:dyDescent="0.2">
      <c r="A222" s="42"/>
      <c r="B222" s="43" t="s">
        <v>272</v>
      </c>
      <c r="C222" s="44" t="s">
        <v>273</v>
      </c>
      <c r="D222" s="45" t="s">
        <v>26</v>
      </c>
      <c r="E222" s="105"/>
      <c r="F222" s="46">
        <f>F223</f>
        <v>1000</v>
      </c>
      <c r="G222" s="46">
        <f>G223</f>
        <v>0</v>
      </c>
      <c r="H222" s="46">
        <f>H223</f>
        <v>1000</v>
      </c>
      <c r="I222" s="47">
        <f>I223</f>
        <v>0</v>
      </c>
      <c r="J222" s="88"/>
      <c r="K222" s="47">
        <f>K223</f>
        <v>0</v>
      </c>
      <c r="L222" s="46">
        <f>L223</f>
        <v>1000</v>
      </c>
      <c r="M222" s="46">
        <f>M223</f>
        <v>0</v>
      </c>
      <c r="N222" s="46">
        <f>N223</f>
        <v>1000</v>
      </c>
      <c r="O222" s="94"/>
      <c r="P222" s="94"/>
    </row>
    <row r="223" spans="1:17" ht="31.5" x14ac:dyDescent="0.2">
      <c r="A223" s="42"/>
      <c r="B223" s="43" t="s">
        <v>35</v>
      </c>
      <c r="C223" s="44" t="s">
        <v>273</v>
      </c>
      <c r="D223" s="45" t="s">
        <v>36</v>
      </c>
      <c r="E223" s="105"/>
      <c r="F223" s="46">
        <v>1000</v>
      </c>
      <c r="G223" s="46"/>
      <c r="H223" s="46">
        <v>1000</v>
      </c>
      <c r="I223" s="47">
        <v>0</v>
      </c>
      <c r="J223" s="88"/>
      <c r="K223" s="47">
        <v>0</v>
      </c>
      <c r="L223" s="46">
        <v>1000</v>
      </c>
      <c r="M223" s="46"/>
      <c r="N223" s="46">
        <v>1000</v>
      </c>
      <c r="O223" s="94"/>
      <c r="P223" s="94"/>
    </row>
    <row r="224" spans="1:17" ht="31.5" x14ac:dyDescent="0.2">
      <c r="A224" s="42"/>
      <c r="B224" s="43" t="s">
        <v>274</v>
      </c>
      <c r="C224" s="44" t="s">
        <v>275</v>
      </c>
      <c r="D224" s="45" t="s">
        <v>26</v>
      </c>
      <c r="E224" s="105"/>
      <c r="F224" s="46">
        <f t="shared" ref="F224:N225" si="48">F225</f>
        <v>13584.1</v>
      </c>
      <c r="G224" s="46">
        <f t="shared" si="48"/>
        <v>0</v>
      </c>
      <c r="H224" s="46">
        <f t="shared" si="48"/>
        <v>13584.1</v>
      </c>
      <c r="I224" s="47">
        <f t="shared" si="48"/>
        <v>0</v>
      </c>
      <c r="J224" s="88"/>
      <c r="K224" s="47">
        <f t="shared" si="48"/>
        <v>0</v>
      </c>
      <c r="L224" s="46">
        <f t="shared" si="48"/>
        <v>13584.1</v>
      </c>
      <c r="M224" s="46">
        <f t="shared" si="48"/>
        <v>0</v>
      </c>
      <c r="N224" s="46">
        <f t="shared" si="48"/>
        <v>13584.1</v>
      </c>
      <c r="O224" s="94"/>
      <c r="P224" s="94"/>
    </row>
    <row r="225" spans="1:16" ht="78.75" x14ac:dyDescent="0.2">
      <c r="A225" s="42"/>
      <c r="B225" s="43" t="s">
        <v>276</v>
      </c>
      <c r="C225" s="44" t="s">
        <v>277</v>
      </c>
      <c r="D225" s="45" t="s">
        <v>26</v>
      </c>
      <c r="E225" s="105"/>
      <c r="F225" s="46">
        <f t="shared" si="48"/>
        <v>13584.1</v>
      </c>
      <c r="G225" s="46">
        <f t="shared" si="48"/>
        <v>0</v>
      </c>
      <c r="H225" s="46">
        <f t="shared" si="48"/>
        <v>13584.1</v>
      </c>
      <c r="I225" s="47">
        <f t="shared" si="48"/>
        <v>0</v>
      </c>
      <c r="J225" s="88"/>
      <c r="K225" s="47">
        <f t="shared" si="48"/>
        <v>0</v>
      </c>
      <c r="L225" s="46">
        <f t="shared" si="48"/>
        <v>13584.1</v>
      </c>
      <c r="M225" s="46">
        <f t="shared" si="48"/>
        <v>0</v>
      </c>
      <c r="N225" s="46">
        <f t="shared" si="48"/>
        <v>13584.1</v>
      </c>
      <c r="O225" s="94"/>
      <c r="P225" s="94"/>
    </row>
    <row r="226" spans="1:16" ht="15.75" x14ac:dyDescent="0.2">
      <c r="A226" s="42"/>
      <c r="B226" s="43" t="s">
        <v>278</v>
      </c>
      <c r="C226" s="44" t="s">
        <v>277</v>
      </c>
      <c r="D226" s="45" t="s">
        <v>279</v>
      </c>
      <c r="E226" s="105"/>
      <c r="F226" s="77">
        <f>13584.2-0.1</f>
        <v>13584.1</v>
      </c>
      <c r="G226" s="77"/>
      <c r="H226" s="77">
        <f>13584.2-0.1</f>
        <v>13584.1</v>
      </c>
      <c r="I226" s="47">
        <v>0</v>
      </c>
      <c r="J226" s="113"/>
      <c r="K226" s="47">
        <v>0</v>
      </c>
      <c r="L226" s="77">
        <f>13584.2-0.1</f>
        <v>13584.1</v>
      </c>
      <c r="M226" s="77"/>
      <c r="N226" s="77">
        <f>13584.2-0.1</f>
        <v>13584.1</v>
      </c>
      <c r="O226" s="94"/>
      <c r="P226" s="94"/>
    </row>
    <row r="227" spans="1:16" ht="47.25" x14ac:dyDescent="0.2">
      <c r="A227" s="42"/>
      <c r="B227" s="43" t="s">
        <v>280</v>
      </c>
      <c r="C227" s="44" t="s">
        <v>281</v>
      </c>
      <c r="D227" s="45" t="s">
        <v>26</v>
      </c>
      <c r="E227" s="105"/>
      <c r="F227" s="46">
        <f t="shared" ref="F227:N228" si="49">F228</f>
        <v>1516.6000000000001</v>
      </c>
      <c r="G227" s="46">
        <f t="shared" si="49"/>
        <v>0</v>
      </c>
      <c r="H227" s="46">
        <f t="shared" si="49"/>
        <v>1516.6000000000001</v>
      </c>
      <c r="I227" s="47">
        <f t="shared" si="49"/>
        <v>0</v>
      </c>
      <c r="J227" s="88"/>
      <c r="K227" s="47">
        <f t="shared" si="49"/>
        <v>0</v>
      </c>
      <c r="L227" s="46">
        <f t="shared" si="49"/>
        <v>1516.6000000000001</v>
      </c>
      <c r="M227" s="46">
        <f t="shared" si="49"/>
        <v>0</v>
      </c>
      <c r="N227" s="46">
        <f t="shared" si="49"/>
        <v>1516.6000000000001</v>
      </c>
      <c r="O227" s="94"/>
      <c r="P227" s="94"/>
    </row>
    <row r="228" spans="1:16" ht="67.900000000000006" customHeight="1" x14ac:dyDescent="0.2">
      <c r="A228" s="42"/>
      <c r="B228" s="43" t="s">
        <v>282</v>
      </c>
      <c r="C228" s="44" t="s">
        <v>283</v>
      </c>
      <c r="D228" s="45" t="s">
        <v>26</v>
      </c>
      <c r="E228" s="105"/>
      <c r="F228" s="46">
        <f t="shared" si="49"/>
        <v>1516.6000000000001</v>
      </c>
      <c r="G228" s="46">
        <f t="shared" si="49"/>
        <v>0</v>
      </c>
      <c r="H228" s="46">
        <f t="shared" si="49"/>
        <v>1516.6000000000001</v>
      </c>
      <c r="I228" s="47">
        <f t="shared" si="49"/>
        <v>0</v>
      </c>
      <c r="J228" s="88"/>
      <c r="K228" s="47">
        <f t="shared" si="49"/>
        <v>0</v>
      </c>
      <c r="L228" s="46">
        <f t="shared" si="49"/>
        <v>1516.6000000000001</v>
      </c>
      <c r="M228" s="46">
        <f t="shared" si="49"/>
        <v>0</v>
      </c>
      <c r="N228" s="46">
        <f t="shared" si="49"/>
        <v>1516.6000000000001</v>
      </c>
      <c r="O228" s="94"/>
      <c r="P228" s="94"/>
    </row>
    <row r="229" spans="1:16" ht="15.75" x14ac:dyDescent="0.2">
      <c r="A229" s="42"/>
      <c r="B229" s="43" t="s">
        <v>278</v>
      </c>
      <c r="C229" s="44" t="s">
        <v>283</v>
      </c>
      <c r="D229" s="45" t="s">
        <v>279</v>
      </c>
      <c r="E229" s="105"/>
      <c r="F229" s="77">
        <f>1516.7-0.1</f>
        <v>1516.6000000000001</v>
      </c>
      <c r="G229" s="77"/>
      <c r="H229" s="77">
        <f>1516.7-0.1</f>
        <v>1516.6000000000001</v>
      </c>
      <c r="I229" s="47">
        <v>0</v>
      </c>
      <c r="J229" s="113"/>
      <c r="K229" s="47">
        <v>0</v>
      </c>
      <c r="L229" s="77">
        <f>1516.7-0.1</f>
        <v>1516.6000000000001</v>
      </c>
      <c r="M229" s="77"/>
      <c r="N229" s="77">
        <f>1516.7-0.1</f>
        <v>1516.6000000000001</v>
      </c>
      <c r="O229" s="94"/>
      <c r="P229" s="94"/>
    </row>
    <row r="230" spans="1:16" ht="0.75" customHeight="1" x14ac:dyDescent="0.2">
      <c r="A230" s="42"/>
      <c r="B230" s="43" t="s">
        <v>448</v>
      </c>
      <c r="C230" s="44" t="s">
        <v>422</v>
      </c>
      <c r="D230" s="45"/>
      <c r="E230" s="105"/>
      <c r="F230" s="77"/>
      <c r="G230" s="77"/>
      <c r="H230" s="77">
        <f>SUM(G230)</f>
        <v>0</v>
      </c>
      <c r="I230" s="47"/>
      <c r="J230" s="113"/>
      <c r="K230" s="47"/>
      <c r="L230" s="77"/>
      <c r="M230" s="77">
        <f t="shared" ref="M230:N233" si="50">SUM(G230)</f>
        <v>0</v>
      </c>
      <c r="N230" s="77">
        <f t="shared" si="50"/>
        <v>0</v>
      </c>
      <c r="O230" s="94"/>
      <c r="P230" s="94"/>
    </row>
    <row r="231" spans="1:16" ht="15.75" hidden="1" x14ac:dyDescent="0.2">
      <c r="A231" s="42"/>
      <c r="B231" s="43" t="s">
        <v>432</v>
      </c>
      <c r="C231" s="44" t="s">
        <v>433</v>
      </c>
      <c r="D231" s="45"/>
      <c r="E231" s="105"/>
      <c r="F231" s="77"/>
      <c r="G231" s="77"/>
      <c r="H231" s="77">
        <f>SUM(G231)</f>
        <v>0</v>
      </c>
      <c r="I231" s="47"/>
      <c r="J231" s="113"/>
      <c r="K231" s="47"/>
      <c r="L231" s="77"/>
      <c r="M231" s="77">
        <f t="shared" si="50"/>
        <v>0</v>
      </c>
      <c r="N231" s="77">
        <f t="shared" si="50"/>
        <v>0</v>
      </c>
      <c r="O231" s="94"/>
      <c r="P231" s="94"/>
    </row>
    <row r="232" spans="1:16" ht="31.5" hidden="1" x14ac:dyDescent="0.2">
      <c r="A232" s="42"/>
      <c r="B232" s="43" t="s">
        <v>434</v>
      </c>
      <c r="C232" s="44" t="s">
        <v>435</v>
      </c>
      <c r="D232" s="45"/>
      <c r="E232" s="105"/>
      <c r="F232" s="77"/>
      <c r="G232" s="77"/>
      <c r="H232" s="77">
        <f>SUM(G232)</f>
        <v>0</v>
      </c>
      <c r="I232" s="47"/>
      <c r="J232" s="113"/>
      <c r="K232" s="47"/>
      <c r="L232" s="77"/>
      <c r="M232" s="77">
        <f t="shared" si="50"/>
        <v>0</v>
      </c>
      <c r="N232" s="77">
        <f t="shared" si="50"/>
        <v>0</v>
      </c>
      <c r="O232" s="94"/>
      <c r="P232" s="94"/>
    </row>
    <row r="233" spans="1:16" ht="31.5" hidden="1" x14ac:dyDescent="0.2">
      <c r="A233" s="42"/>
      <c r="B233" s="43" t="s">
        <v>35</v>
      </c>
      <c r="C233" s="44" t="s">
        <v>435</v>
      </c>
      <c r="D233" s="45" t="s">
        <v>36</v>
      </c>
      <c r="E233" s="105"/>
      <c r="F233" s="77"/>
      <c r="G233" s="77"/>
      <c r="H233" s="77">
        <f>SUM(G233)</f>
        <v>0</v>
      </c>
      <c r="I233" s="47"/>
      <c r="J233" s="113"/>
      <c r="K233" s="47"/>
      <c r="L233" s="77"/>
      <c r="M233" s="77">
        <f t="shared" si="50"/>
        <v>0</v>
      </c>
      <c r="N233" s="77">
        <f t="shared" si="50"/>
        <v>0</v>
      </c>
      <c r="O233" s="94"/>
      <c r="P233" s="94"/>
    </row>
    <row r="234" spans="1:16" ht="15.75" x14ac:dyDescent="0.2">
      <c r="A234" s="49"/>
      <c r="B234" s="50" t="s">
        <v>284</v>
      </c>
      <c r="C234" s="51" t="s">
        <v>285</v>
      </c>
      <c r="D234" s="52" t="s">
        <v>26</v>
      </c>
      <c r="E234" s="106"/>
      <c r="F234" s="53">
        <f t="shared" ref="F234:N236" si="51">F235</f>
        <v>394.4</v>
      </c>
      <c r="G234" s="53">
        <f t="shared" si="51"/>
        <v>0</v>
      </c>
      <c r="H234" s="53">
        <f t="shared" si="51"/>
        <v>394.4</v>
      </c>
      <c r="I234" s="54">
        <f t="shared" si="51"/>
        <v>0</v>
      </c>
      <c r="J234" s="87"/>
      <c r="K234" s="54">
        <f t="shared" si="51"/>
        <v>0</v>
      </c>
      <c r="L234" s="53">
        <f t="shared" si="51"/>
        <v>394.4</v>
      </c>
      <c r="M234" s="53">
        <f t="shared" si="51"/>
        <v>0</v>
      </c>
      <c r="N234" s="53">
        <f t="shared" si="51"/>
        <v>394.4</v>
      </c>
      <c r="O234" s="95"/>
      <c r="P234" s="95"/>
    </row>
    <row r="235" spans="1:16" ht="31.5" x14ac:dyDescent="0.2">
      <c r="A235" s="42"/>
      <c r="B235" s="43" t="s">
        <v>286</v>
      </c>
      <c r="C235" s="44" t="s">
        <v>287</v>
      </c>
      <c r="D235" s="45" t="s">
        <v>26</v>
      </c>
      <c r="E235" s="105"/>
      <c r="F235" s="46">
        <f t="shared" si="51"/>
        <v>394.4</v>
      </c>
      <c r="G235" s="46">
        <f t="shared" si="51"/>
        <v>0</v>
      </c>
      <c r="H235" s="46">
        <f t="shared" si="51"/>
        <v>394.4</v>
      </c>
      <c r="I235" s="47">
        <f t="shared" si="51"/>
        <v>0</v>
      </c>
      <c r="J235" s="88"/>
      <c r="K235" s="47">
        <f t="shared" si="51"/>
        <v>0</v>
      </c>
      <c r="L235" s="46">
        <f t="shared" si="51"/>
        <v>394.4</v>
      </c>
      <c r="M235" s="46">
        <f t="shared" si="51"/>
        <v>0</v>
      </c>
      <c r="N235" s="46">
        <f t="shared" si="51"/>
        <v>394.4</v>
      </c>
      <c r="O235" s="94"/>
      <c r="P235" s="94"/>
    </row>
    <row r="236" spans="1:16" ht="15.75" x14ac:dyDescent="0.2">
      <c r="A236" s="42"/>
      <c r="B236" s="43" t="s">
        <v>288</v>
      </c>
      <c r="C236" s="44" t="s">
        <v>289</v>
      </c>
      <c r="D236" s="45" t="s">
        <v>26</v>
      </c>
      <c r="E236" s="105"/>
      <c r="F236" s="46">
        <f t="shared" si="51"/>
        <v>394.4</v>
      </c>
      <c r="G236" s="46">
        <f t="shared" si="51"/>
        <v>0</v>
      </c>
      <c r="H236" s="46">
        <f t="shared" si="51"/>
        <v>394.4</v>
      </c>
      <c r="I236" s="47">
        <f t="shared" si="51"/>
        <v>0</v>
      </c>
      <c r="J236" s="88"/>
      <c r="K236" s="47">
        <f t="shared" si="51"/>
        <v>0</v>
      </c>
      <c r="L236" s="46">
        <f t="shared" si="51"/>
        <v>394.4</v>
      </c>
      <c r="M236" s="46">
        <f t="shared" si="51"/>
        <v>0</v>
      </c>
      <c r="N236" s="46">
        <f t="shared" si="51"/>
        <v>394.4</v>
      </c>
      <c r="O236" s="94"/>
      <c r="P236" s="94"/>
    </row>
    <row r="237" spans="1:16" ht="31.5" x14ac:dyDescent="0.2">
      <c r="A237" s="42"/>
      <c r="B237" s="43" t="s">
        <v>35</v>
      </c>
      <c r="C237" s="44" t="s">
        <v>289</v>
      </c>
      <c r="D237" s="45" t="s">
        <v>36</v>
      </c>
      <c r="E237" s="105"/>
      <c r="F237" s="46">
        <v>394.4</v>
      </c>
      <c r="G237" s="46"/>
      <c r="H237" s="46">
        <v>394.4</v>
      </c>
      <c r="I237" s="47">
        <v>0</v>
      </c>
      <c r="J237" s="88"/>
      <c r="K237" s="47">
        <v>0</v>
      </c>
      <c r="L237" s="46">
        <f>SUM(F237)</f>
        <v>394.4</v>
      </c>
      <c r="M237" s="46">
        <f>SUM(G237)</f>
        <v>0</v>
      </c>
      <c r="N237" s="46">
        <f>SUM(H237)</f>
        <v>394.4</v>
      </c>
      <c r="O237" s="94"/>
      <c r="P237" s="94"/>
    </row>
    <row r="238" spans="1:16" ht="24.6" customHeight="1" x14ac:dyDescent="0.2">
      <c r="A238" s="49"/>
      <c r="B238" s="50" t="s">
        <v>290</v>
      </c>
      <c r="C238" s="51" t="s">
        <v>291</v>
      </c>
      <c r="D238" s="52" t="s">
        <v>26</v>
      </c>
      <c r="E238" s="106"/>
      <c r="F238" s="53">
        <f>F239</f>
        <v>5361.3</v>
      </c>
      <c r="G238" s="53">
        <f>G239</f>
        <v>567</v>
      </c>
      <c r="H238" s="53">
        <f>H239</f>
        <v>5928.3</v>
      </c>
      <c r="I238" s="54">
        <f>I239</f>
        <v>0</v>
      </c>
      <c r="J238" s="87"/>
      <c r="K238" s="54">
        <f>K239</f>
        <v>0</v>
      </c>
      <c r="L238" s="53">
        <f>L239</f>
        <v>5361.3</v>
      </c>
      <c r="M238" s="53">
        <f>M239</f>
        <v>567</v>
      </c>
      <c r="N238" s="53">
        <f>N239</f>
        <v>5928.3</v>
      </c>
      <c r="O238" s="95"/>
      <c r="P238" s="95"/>
    </row>
    <row r="239" spans="1:16" ht="36.6" customHeight="1" x14ac:dyDescent="0.2">
      <c r="A239" s="42"/>
      <c r="B239" s="43" t="s">
        <v>292</v>
      </c>
      <c r="C239" s="44" t="s">
        <v>293</v>
      </c>
      <c r="D239" s="45" t="s">
        <v>26</v>
      </c>
      <c r="E239" s="105"/>
      <c r="F239" s="46">
        <f>F240+F242</f>
        <v>5361.3</v>
      </c>
      <c r="G239" s="46">
        <f>G240+G242</f>
        <v>567</v>
      </c>
      <c r="H239" s="46">
        <f>H240+H242</f>
        <v>5928.3</v>
      </c>
      <c r="I239" s="47">
        <f>I240+I242</f>
        <v>0</v>
      </c>
      <c r="J239" s="88"/>
      <c r="K239" s="47">
        <f>K240+K242</f>
        <v>0</v>
      </c>
      <c r="L239" s="46">
        <f>L240+L242</f>
        <v>5361.3</v>
      </c>
      <c r="M239" s="46">
        <f>M240+M242</f>
        <v>567</v>
      </c>
      <c r="N239" s="46">
        <f>N240+N242</f>
        <v>5928.3</v>
      </c>
      <c r="O239" s="94"/>
      <c r="P239" s="94"/>
    </row>
    <row r="240" spans="1:16" ht="22.15" customHeight="1" x14ac:dyDescent="0.2">
      <c r="A240" s="42"/>
      <c r="B240" s="43" t="s">
        <v>294</v>
      </c>
      <c r="C240" s="44" t="s">
        <v>295</v>
      </c>
      <c r="D240" s="45" t="s">
        <v>26</v>
      </c>
      <c r="E240" s="105"/>
      <c r="F240" s="46">
        <f>F241</f>
        <v>496.5</v>
      </c>
      <c r="G240" s="46">
        <f>G241</f>
        <v>567</v>
      </c>
      <c r="H240" s="46">
        <f>H241</f>
        <v>1063.5</v>
      </c>
      <c r="I240" s="47">
        <f>I241</f>
        <v>0</v>
      </c>
      <c r="J240" s="88"/>
      <c r="K240" s="47">
        <f>K241</f>
        <v>0</v>
      </c>
      <c r="L240" s="46">
        <f>L241</f>
        <v>496.5</v>
      </c>
      <c r="M240" s="46">
        <f>M241</f>
        <v>567</v>
      </c>
      <c r="N240" s="46">
        <f>N241</f>
        <v>1063.5</v>
      </c>
      <c r="O240" s="94"/>
      <c r="P240" s="94"/>
    </row>
    <row r="241" spans="1:16" ht="31.5" x14ac:dyDescent="0.2">
      <c r="A241" s="42"/>
      <c r="B241" s="43" t="s">
        <v>35</v>
      </c>
      <c r="C241" s="44" t="s">
        <v>295</v>
      </c>
      <c r="D241" s="45" t="s">
        <v>36</v>
      </c>
      <c r="E241" s="105"/>
      <c r="F241" s="56">
        <v>496.5</v>
      </c>
      <c r="G241" s="56">
        <v>567</v>
      </c>
      <c r="H241" s="56">
        <f>496.5+G241</f>
        <v>1063.5</v>
      </c>
      <c r="I241" s="47">
        <v>0</v>
      </c>
      <c r="J241" s="111"/>
      <c r="K241" s="47">
        <v>0</v>
      </c>
      <c r="L241" s="56">
        <f>SUM(F241)</f>
        <v>496.5</v>
      </c>
      <c r="M241" s="56">
        <f>SUM(G241)</f>
        <v>567</v>
      </c>
      <c r="N241" s="56">
        <f>SUM(H241)</f>
        <v>1063.5</v>
      </c>
      <c r="O241" s="94"/>
      <c r="P241" s="94"/>
    </row>
    <row r="242" spans="1:16" ht="52.15" customHeight="1" x14ac:dyDescent="0.2">
      <c r="A242" s="42"/>
      <c r="B242" s="43" t="s">
        <v>296</v>
      </c>
      <c r="C242" s="44" t="s">
        <v>297</v>
      </c>
      <c r="D242" s="45" t="s">
        <v>26</v>
      </c>
      <c r="E242" s="105"/>
      <c r="F242" s="46">
        <f>F243</f>
        <v>4864.8</v>
      </c>
      <c r="G242" s="46">
        <f>G243</f>
        <v>0</v>
      </c>
      <c r="H242" s="46">
        <f>H243</f>
        <v>4864.8</v>
      </c>
      <c r="I242" s="47">
        <f>I243</f>
        <v>0</v>
      </c>
      <c r="J242" s="88"/>
      <c r="K242" s="47">
        <f>K243</f>
        <v>0</v>
      </c>
      <c r="L242" s="46">
        <f>L243</f>
        <v>4864.8</v>
      </c>
      <c r="M242" s="46">
        <f>M243</f>
        <v>0</v>
      </c>
      <c r="N242" s="46">
        <f>N243</f>
        <v>4864.8</v>
      </c>
      <c r="O242" s="94"/>
      <c r="P242" s="94"/>
    </row>
    <row r="243" spans="1:16" ht="15.75" x14ac:dyDescent="0.2">
      <c r="A243" s="42"/>
      <c r="B243" s="43" t="s">
        <v>278</v>
      </c>
      <c r="C243" s="44" t="s">
        <v>297</v>
      </c>
      <c r="D243" s="45" t="s">
        <v>279</v>
      </c>
      <c r="E243" s="105"/>
      <c r="F243" s="46">
        <v>4864.8</v>
      </c>
      <c r="G243" s="46"/>
      <c r="H243" s="46">
        <v>4864.8</v>
      </c>
      <c r="I243" s="47">
        <v>0</v>
      </c>
      <c r="J243" s="88"/>
      <c r="K243" s="47">
        <v>0</v>
      </c>
      <c r="L243" s="46">
        <v>4864.8</v>
      </c>
      <c r="M243" s="46"/>
      <c r="N243" s="46">
        <v>4864.8</v>
      </c>
      <c r="O243" s="94"/>
      <c r="P243" s="94"/>
    </row>
    <row r="244" spans="1:16" ht="15.75" x14ac:dyDescent="0.2">
      <c r="A244" s="49"/>
      <c r="B244" s="50" t="s">
        <v>298</v>
      </c>
      <c r="C244" s="51" t="s">
        <v>299</v>
      </c>
      <c r="D244" s="52" t="s">
        <v>26</v>
      </c>
      <c r="E244" s="106"/>
      <c r="F244" s="53">
        <f t="shared" ref="F244:N246" si="52">F245</f>
        <v>20</v>
      </c>
      <c r="G244" s="53">
        <f t="shared" si="52"/>
        <v>0</v>
      </c>
      <c r="H244" s="53">
        <f t="shared" si="52"/>
        <v>20</v>
      </c>
      <c r="I244" s="54">
        <f t="shared" si="52"/>
        <v>0</v>
      </c>
      <c r="J244" s="53">
        <f>J245</f>
        <v>0</v>
      </c>
      <c r="K244" s="54">
        <f t="shared" si="52"/>
        <v>0</v>
      </c>
      <c r="L244" s="53">
        <f t="shared" si="52"/>
        <v>20</v>
      </c>
      <c r="M244" s="53">
        <f t="shared" si="52"/>
        <v>0</v>
      </c>
      <c r="N244" s="53">
        <f t="shared" si="52"/>
        <v>20</v>
      </c>
      <c r="O244" s="95"/>
      <c r="P244" s="95"/>
    </row>
    <row r="245" spans="1:16" ht="31.5" x14ac:dyDescent="0.2">
      <c r="A245" s="42"/>
      <c r="B245" s="43" t="s">
        <v>300</v>
      </c>
      <c r="C245" s="44" t="s">
        <v>301</v>
      </c>
      <c r="D245" s="45" t="s">
        <v>26</v>
      </c>
      <c r="E245" s="105"/>
      <c r="F245" s="46">
        <f t="shared" si="52"/>
        <v>20</v>
      </c>
      <c r="G245" s="46">
        <f t="shared" si="52"/>
        <v>0</v>
      </c>
      <c r="H245" s="46">
        <f t="shared" si="52"/>
        <v>20</v>
      </c>
      <c r="I245" s="47">
        <f t="shared" si="52"/>
        <v>0</v>
      </c>
      <c r="J245" s="88"/>
      <c r="K245" s="47">
        <f t="shared" si="52"/>
        <v>0</v>
      </c>
      <c r="L245" s="46">
        <f t="shared" si="52"/>
        <v>20</v>
      </c>
      <c r="M245" s="46">
        <f t="shared" si="52"/>
        <v>0</v>
      </c>
      <c r="N245" s="46">
        <f t="shared" si="52"/>
        <v>20</v>
      </c>
      <c r="O245" s="94"/>
      <c r="P245" s="94"/>
    </row>
    <row r="246" spans="1:16" ht="15.75" x14ac:dyDescent="0.2">
      <c r="A246" s="42"/>
      <c r="B246" s="43" t="s">
        <v>302</v>
      </c>
      <c r="C246" s="44" t="s">
        <v>303</v>
      </c>
      <c r="D246" s="45" t="s">
        <v>26</v>
      </c>
      <c r="E246" s="105"/>
      <c r="F246" s="46">
        <f t="shared" si="52"/>
        <v>20</v>
      </c>
      <c r="G246" s="46">
        <f t="shared" si="52"/>
        <v>0</v>
      </c>
      <c r="H246" s="46">
        <f t="shared" si="52"/>
        <v>20</v>
      </c>
      <c r="I246" s="47">
        <f t="shared" si="52"/>
        <v>0</v>
      </c>
      <c r="J246" s="88"/>
      <c r="K246" s="47">
        <f t="shared" si="52"/>
        <v>0</v>
      </c>
      <c r="L246" s="46">
        <f t="shared" si="52"/>
        <v>20</v>
      </c>
      <c r="M246" s="46">
        <f t="shared" si="52"/>
        <v>0</v>
      </c>
      <c r="N246" s="46">
        <f t="shared" si="52"/>
        <v>20</v>
      </c>
      <c r="O246" s="94"/>
      <c r="P246" s="94"/>
    </row>
    <row r="247" spans="1:16" ht="31.5" x14ac:dyDescent="0.2">
      <c r="A247" s="42"/>
      <c r="B247" s="43" t="s">
        <v>35</v>
      </c>
      <c r="C247" s="44" t="s">
        <v>303</v>
      </c>
      <c r="D247" s="45" t="s">
        <v>36</v>
      </c>
      <c r="E247" s="105"/>
      <c r="F247" s="46">
        <v>20</v>
      </c>
      <c r="G247" s="46"/>
      <c r="H247" s="46">
        <v>20</v>
      </c>
      <c r="I247" s="47">
        <v>0</v>
      </c>
      <c r="J247" s="88"/>
      <c r="K247" s="47">
        <v>0</v>
      </c>
      <c r="L247" s="46">
        <v>20</v>
      </c>
      <c r="M247" s="46"/>
      <c r="N247" s="46">
        <v>20</v>
      </c>
      <c r="O247" s="94"/>
      <c r="P247" s="94"/>
    </row>
    <row r="248" spans="1:16" ht="15.75" x14ac:dyDescent="0.2">
      <c r="A248" s="49"/>
      <c r="B248" s="50" t="s">
        <v>140</v>
      </c>
      <c r="C248" s="51" t="s">
        <v>304</v>
      </c>
      <c r="D248" s="52" t="s">
        <v>26</v>
      </c>
      <c r="E248" s="106"/>
      <c r="F248" s="53">
        <f t="shared" ref="F248:N248" si="53">F249+F252</f>
        <v>3461.5</v>
      </c>
      <c r="G248" s="53">
        <f t="shared" si="53"/>
        <v>0</v>
      </c>
      <c r="H248" s="53">
        <f t="shared" si="53"/>
        <v>3461.5</v>
      </c>
      <c r="I248" s="54">
        <f t="shared" si="53"/>
        <v>0</v>
      </c>
      <c r="J248" s="53">
        <f t="shared" si="53"/>
        <v>0</v>
      </c>
      <c r="K248" s="54">
        <f t="shared" si="53"/>
        <v>0</v>
      </c>
      <c r="L248" s="53">
        <f t="shared" si="53"/>
        <v>3461.5</v>
      </c>
      <c r="M248" s="53">
        <f t="shared" si="53"/>
        <v>0</v>
      </c>
      <c r="N248" s="53">
        <f t="shared" si="53"/>
        <v>3461.5</v>
      </c>
      <c r="O248" s="95"/>
      <c r="P248" s="95"/>
    </row>
    <row r="249" spans="1:16" ht="30.6" customHeight="1" x14ac:dyDescent="0.2">
      <c r="A249" s="42"/>
      <c r="B249" s="43" t="s">
        <v>305</v>
      </c>
      <c r="C249" s="44" t="s">
        <v>306</v>
      </c>
      <c r="D249" s="45" t="s">
        <v>26</v>
      </c>
      <c r="E249" s="105"/>
      <c r="F249" s="46">
        <f t="shared" ref="F249:N250" si="54">F250</f>
        <v>3366.5</v>
      </c>
      <c r="G249" s="46">
        <f t="shared" si="54"/>
        <v>0</v>
      </c>
      <c r="H249" s="46">
        <f t="shared" si="54"/>
        <v>3366.5</v>
      </c>
      <c r="I249" s="47">
        <f t="shared" si="54"/>
        <v>0</v>
      </c>
      <c r="J249" s="88"/>
      <c r="K249" s="47">
        <f t="shared" si="54"/>
        <v>0</v>
      </c>
      <c r="L249" s="46">
        <f t="shared" si="54"/>
        <v>3366.5</v>
      </c>
      <c r="M249" s="46">
        <f t="shared" si="54"/>
        <v>0</v>
      </c>
      <c r="N249" s="46">
        <f t="shared" si="54"/>
        <v>3366.5</v>
      </c>
      <c r="O249" s="94"/>
      <c r="P249" s="94"/>
    </row>
    <row r="250" spans="1:16" ht="63" x14ac:dyDescent="0.2">
      <c r="A250" s="42"/>
      <c r="B250" s="43" t="s">
        <v>307</v>
      </c>
      <c r="C250" s="44" t="s">
        <v>308</v>
      </c>
      <c r="D250" s="45" t="s">
        <v>26</v>
      </c>
      <c r="E250" s="105"/>
      <c r="F250" s="46">
        <f t="shared" si="54"/>
        <v>3366.5</v>
      </c>
      <c r="G250" s="46">
        <f t="shared" si="54"/>
        <v>0</v>
      </c>
      <c r="H250" s="46">
        <f t="shared" si="54"/>
        <v>3366.5</v>
      </c>
      <c r="I250" s="47">
        <f t="shared" si="54"/>
        <v>0</v>
      </c>
      <c r="J250" s="88"/>
      <c r="K250" s="47">
        <f t="shared" si="54"/>
        <v>0</v>
      </c>
      <c r="L250" s="46">
        <f t="shared" si="54"/>
        <v>3366.5</v>
      </c>
      <c r="M250" s="46">
        <f t="shared" si="54"/>
        <v>0</v>
      </c>
      <c r="N250" s="46">
        <f t="shared" si="54"/>
        <v>3366.5</v>
      </c>
      <c r="O250" s="94"/>
      <c r="P250" s="94"/>
    </row>
    <row r="251" spans="1:16" ht="15.75" x14ac:dyDescent="0.2">
      <c r="A251" s="42"/>
      <c r="B251" s="43" t="s">
        <v>278</v>
      </c>
      <c r="C251" s="44" t="s">
        <v>308</v>
      </c>
      <c r="D251" s="45" t="s">
        <v>279</v>
      </c>
      <c r="E251" s="105"/>
      <c r="F251" s="46">
        <v>3366.5</v>
      </c>
      <c r="G251" s="46"/>
      <c r="H251" s="46">
        <v>3366.5</v>
      </c>
      <c r="I251" s="47">
        <v>0</v>
      </c>
      <c r="J251" s="88"/>
      <c r="K251" s="47">
        <v>0</v>
      </c>
      <c r="L251" s="46">
        <v>3366.5</v>
      </c>
      <c r="M251" s="46"/>
      <c r="N251" s="46">
        <v>3366.5</v>
      </c>
      <c r="O251" s="94"/>
      <c r="P251" s="94"/>
    </row>
    <row r="252" spans="1:16" ht="47.25" x14ac:dyDescent="0.2">
      <c r="A252" s="42"/>
      <c r="B252" s="43" t="s">
        <v>309</v>
      </c>
      <c r="C252" s="44" t="s">
        <v>310</v>
      </c>
      <c r="D252" s="45" t="s">
        <v>26</v>
      </c>
      <c r="E252" s="105"/>
      <c r="F252" s="46">
        <f t="shared" ref="F252:N253" si="55">F253</f>
        <v>95</v>
      </c>
      <c r="G252" s="46">
        <f t="shared" si="55"/>
        <v>0</v>
      </c>
      <c r="H252" s="46">
        <f t="shared" si="55"/>
        <v>95</v>
      </c>
      <c r="I252" s="47">
        <f t="shared" si="55"/>
        <v>0</v>
      </c>
      <c r="J252" s="88"/>
      <c r="K252" s="47">
        <f t="shared" si="55"/>
        <v>0</v>
      </c>
      <c r="L252" s="46">
        <f t="shared" si="55"/>
        <v>95</v>
      </c>
      <c r="M252" s="46">
        <f t="shared" si="55"/>
        <v>0</v>
      </c>
      <c r="N252" s="46">
        <f t="shared" si="55"/>
        <v>95</v>
      </c>
      <c r="O252" s="94"/>
      <c r="P252" s="94"/>
    </row>
    <row r="253" spans="1:16" ht="15.75" x14ac:dyDescent="0.2">
      <c r="A253" s="42"/>
      <c r="B253" s="43" t="s">
        <v>311</v>
      </c>
      <c r="C253" s="44" t="s">
        <v>312</v>
      </c>
      <c r="D253" s="45" t="s">
        <v>26</v>
      </c>
      <c r="E253" s="105"/>
      <c r="F253" s="46">
        <f t="shared" si="55"/>
        <v>95</v>
      </c>
      <c r="G253" s="46">
        <f t="shared" si="55"/>
        <v>0</v>
      </c>
      <c r="H253" s="46">
        <f t="shared" si="55"/>
        <v>95</v>
      </c>
      <c r="I253" s="47">
        <f t="shared" si="55"/>
        <v>0</v>
      </c>
      <c r="J253" s="88"/>
      <c r="K253" s="47">
        <f t="shared" si="55"/>
        <v>0</v>
      </c>
      <c r="L253" s="46">
        <f t="shared" si="55"/>
        <v>95</v>
      </c>
      <c r="M253" s="46">
        <f t="shared" si="55"/>
        <v>0</v>
      </c>
      <c r="N253" s="46">
        <f t="shared" si="55"/>
        <v>95</v>
      </c>
      <c r="O253" s="94"/>
      <c r="P253" s="94"/>
    </row>
    <row r="254" spans="1:16" ht="30" customHeight="1" x14ac:dyDescent="0.2">
      <c r="A254" s="42"/>
      <c r="B254" s="43" t="s">
        <v>35</v>
      </c>
      <c r="C254" s="44" t="s">
        <v>312</v>
      </c>
      <c r="D254" s="45" t="s">
        <v>36</v>
      </c>
      <c r="E254" s="105"/>
      <c r="F254" s="46">
        <v>95</v>
      </c>
      <c r="G254" s="46"/>
      <c r="H254" s="46">
        <v>95</v>
      </c>
      <c r="I254" s="47">
        <v>0</v>
      </c>
      <c r="J254" s="88"/>
      <c r="K254" s="47">
        <v>0</v>
      </c>
      <c r="L254" s="46">
        <v>95</v>
      </c>
      <c r="M254" s="46"/>
      <c r="N254" s="46">
        <v>95</v>
      </c>
      <c r="O254" s="94"/>
      <c r="P254" s="94"/>
    </row>
    <row r="255" spans="1:16" ht="31.5" hidden="1" x14ac:dyDescent="0.2">
      <c r="A255" s="42"/>
      <c r="B255" s="43" t="s">
        <v>448</v>
      </c>
      <c r="C255" s="44" t="s">
        <v>422</v>
      </c>
      <c r="D255" s="45"/>
      <c r="E255" s="105"/>
      <c r="F255" s="46"/>
      <c r="G255" s="46"/>
      <c r="H255" s="46">
        <f>SUM(G255)</f>
        <v>0</v>
      </c>
      <c r="I255" s="47"/>
      <c r="J255" s="88"/>
      <c r="K255" s="47"/>
      <c r="L255" s="46"/>
      <c r="M255" s="46">
        <f>SUM(G255)</f>
        <v>0</v>
      </c>
      <c r="N255" s="46">
        <f>SUM(H255)</f>
        <v>0</v>
      </c>
      <c r="O255" s="94"/>
      <c r="P255" s="94"/>
    </row>
    <row r="256" spans="1:16" ht="15.75" hidden="1" x14ac:dyDescent="0.2">
      <c r="A256" s="42"/>
      <c r="B256" s="43" t="s">
        <v>432</v>
      </c>
      <c r="C256" s="44" t="s">
        <v>433</v>
      </c>
      <c r="D256" s="45"/>
      <c r="E256" s="105"/>
      <c r="F256" s="46"/>
      <c r="G256" s="46"/>
      <c r="H256" s="46">
        <f>SUM(G256)</f>
        <v>0</v>
      </c>
      <c r="I256" s="47"/>
      <c r="J256" s="88"/>
      <c r="K256" s="47"/>
      <c r="L256" s="46"/>
      <c r="M256" s="46">
        <f>SUM(G256)</f>
        <v>0</v>
      </c>
      <c r="N256" s="46" t="s">
        <v>447</v>
      </c>
      <c r="O256" s="94"/>
      <c r="P256" s="94"/>
    </row>
    <row r="257" spans="1:16" ht="31.5" hidden="1" x14ac:dyDescent="0.2">
      <c r="A257" s="42"/>
      <c r="B257" s="43" t="s">
        <v>434</v>
      </c>
      <c r="C257" s="44" t="s">
        <v>435</v>
      </c>
      <c r="D257" s="45"/>
      <c r="E257" s="105"/>
      <c r="F257" s="46"/>
      <c r="G257" s="46"/>
      <c r="H257" s="46">
        <f>SUM(G257)</f>
        <v>0</v>
      </c>
      <c r="I257" s="47"/>
      <c r="J257" s="88"/>
      <c r="K257" s="47"/>
      <c r="L257" s="46"/>
      <c r="M257" s="46">
        <f>SUM(G258)</f>
        <v>0</v>
      </c>
      <c r="N257" s="46">
        <f>SUM(H258)</f>
        <v>0</v>
      </c>
      <c r="O257" s="94"/>
      <c r="P257" s="94"/>
    </row>
    <row r="258" spans="1:16" ht="31.5" hidden="1" x14ac:dyDescent="0.2">
      <c r="A258" s="42"/>
      <c r="B258" s="43" t="s">
        <v>35</v>
      </c>
      <c r="C258" s="44" t="s">
        <v>435</v>
      </c>
      <c r="D258" s="45" t="s">
        <v>36</v>
      </c>
      <c r="E258" s="105"/>
      <c r="F258" s="46"/>
      <c r="G258" s="46"/>
      <c r="H258" s="46">
        <f>SUM(G258)</f>
        <v>0</v>
      </c>
      <c r="I258" s="47"/>
      <c r="J258" s="88"/>
      <c r="K258" s="47"/>
      <c r="L258" s="46"/>
      <c r="M258" s="46">
        <f>SUM(G258)</f>
        <v>0</v>
      </c>
      <c r="N258" s="46">
        <f>SUM(H258)</f>
        <v>0</v>
      </c>
      <c r="O258" s="94"/>
      <c r="P258" s="94"/>
    </row>
    <row r="259" spans="1:16" ht="47.25" x14ac:dyDescent="0.2">
      <c r="A259" s="19" t="s">
        <v>313</v>
      </c>
      <c r="B259" s="20" t="s">
        <v>314</v>
      </c>
      <c r="C259" s="21" t="s">
        <v>315</v>
      </c>
      <c r="D259" s="22" t="s">
        <v>26</v>
      </c>
      <c r="E259" s="104"/>
      <c r="F259" s="23">
        <f t="shared" ref="F259:N259" si="56">F260+F267+F271</f>
        <v>5472</v>
      </c>
      <c r="G259" s="23">
        <f t="shared" si="56"/>
        <v>0</v>
      </c>
      <c r="H259" s="23">
        <f t="shared" si="56"/>
        <v>5472</v>
      </c>
      <c r="I259" s="24">
        <f t="shared" si="56"/>
        <v>0</v>
      </c>
      <c r="J259" s="23">
        <f t="shared" si="56"/>
        <v>0</v>
      </c>
      <c r="K259" s="24">
        <f t="shared" si="56"/>
        <v>0</v>
      </c>
      <c r="L259" s="23">
        <f t="shared" si="56"/>
        <v>5472</v>
      </c>
      <c r="M259" s="23">
        <f t="shared" si="56"/>
        <v>0</v>
      </c>
      <c r="N259" s="23">
        <f t="shared" si="56"/>
        <v>5472</v>
      </c>
      <c r="O259" s="93"/>
      <c r="P259" s="93"/>
    </row>
    <row r="260" spans="1:16" ht="31.5" x14ac:dyDescent="0.2">
      <c r="A260" s="49"/>
      <c r="B260" s="50" t="s">
        <v>316</v>
      </c>
      <c r="C260" s="51" t="s">
        <v>317</v>
      </c>
      <c r="D260" s="52" t="s">
        <v>26</v>
      </c>
      <c r="E260" s="106"/>
      <c r="F260" s="53">
        <f t="shared" ref="F260:N260" si="57">F261</f>
        <v>2722</v>
      </c>
      <c r="G260" s="53">
        <f t="shared" si="57"/>
        <v>0</v>
      </c>
      <c r="H260" s="53">
        <f t="shared" si="57"/>
        <v>2722</v>
      </c>
      <c r="I260" s="54">
        <f t="shared" si="57"/>
        <v>0</v>
      </c>
      <c r="J260" s="53">
        <f t="shared" si="57"/>
        <v>0</v>
      </c>
      <c r="K260" s="54">
        <f t="shared" si="57"/>
        <v>0</v>
      </c>
      <c r="L260" s="53">
        <f t="shared" si="57"/>
        <v>2722</v>
      </c>
      <c r="M260" s="53">
        <f t="shared" si="57"/>
        <v>0</v>
      </c>
      <c r="N260" s="53">
        <f t="shared" si="57"/>
        <v>2722</v>
      </c>
      <c r="O260" s="95"/>
      <c r="P260" s="95"/>
    </row>
    <row r="261" spans="1:16" ht="31.5" x14ac:dyDescent="0.2">
      <c r="A261" s="42"/>
      <c r="B261" s="43" t="s">
        <v>318</v>
      </c>
      <c r="C261" s="44" t="s">
        <v>319</v>
      </c>
      <c r="D261" s="45" t="s">
        <v>26</v>
      </c>
      <c r="E261" s="105"/>
      <c r="F261" s="46">
        <f>F262+F264</f>
        <v>2722</v>
      </c>
      <c r="G261" s="46">
        <f>G262+G264</f>
        <v>0</v>
      </c>
      <c r="H261" s="46">
        <f>H262+H264</f>
        <v>2722</v>
      </c>
      <c r="I261" s="47">
        <f>I262+I264</f>
        <v>0</v>
      </c>
      <c r="J261" s="88"/>
      <c r="K261" s="47">
        <f>K262+K264</f>
        <v>0</v>
      </c>
      <c r="L261" s="46">
        <f>L262+L264</f>
        <v>2722</v>
      </c>
      <c r="M261" s="46">
        <f>M262+M264</f>
        <v>0</v>
      </c>
      <c r="N261" s="46">
        <f>N262+N264</f>
        <v>2722</v>
      </c>
      <c r="O261" s="94"/>
      <c r="P261" s="94"/>
    </row>
    <row r="262" spans="1:16" ht="31.5" x14ac:dyDescent="0.2">
      <c r="A262" s="42"/>
      <c r="B262" s="43" t="s">
        <v>316</v>
      </c>
      <c r="C262" s="44" t="s">
        <v>320</v>
      </c>
      <c r="D262" s="45" t="s">
        <v>26</v>
      </c>
      <c r="E262" s="105"/>
      <c r="F262" s="46">
        <f>F263</f>
        <v>2412</v>
      </c>
      <c r="G262" s="46">
        <f>G263</f>
        <v>0</v>
      </c>
      <c r="H262" s="46">
        <f>H263</f>
        <v>2412</v>
      </c>
      <c r="I262" s="47">
        <f>I263</f>
        <v>0</v>
      </c>
      <c r="J262" s="88"/>
      <c r="K262" s="47">
        <f>K263</f>
        <v>0</v>
      </c>
      <c r="L262" s="46">
        <f>L263</f>
        <v>2412</v>
      </c>
      <c r="M262" s="46">
        <f>M263</f>
        <v>0</v>
      </c>
      <c r="N262" s="46">
        <f>N263</f>
        <v>2412</v>
      </c>
      <c r="O262" s="94"/>
      <c r="P262" s="94"/>
    </row>
    <row r="263" spans="1:16" ht="15.75" x14ac:dyDescent="0.2">
      <c r="A263" s="42"/>
      <c r="B263" s="43" t="s">
        <v>54</v>
      </c>
      <c r="C263" s="44" t="s">
        <v>320</v>
      </c>
      <c r="D263" s="45" t="s">
        <v>55</v>
      </c>
      <c r="E263" s="105"/>
      <c r="F263" s="46">
        <v>2412</v>
      </c>
      <c r="G263" s="46"/>
      <c r="H263" s="46">
        <v>2412</v>
      </c>
      <c r="I263" s="47">
        <v>0</v>
      </c>
      <c r="J263" s="88"/>
      <c r="K263" s="47">
        <v>0</v>
      </c>
      <c r="L263" s="46">
        <v>2412</v>
      </c>
      <c r="M263" s="46"/>
      <c r="N263" s="46">
        <v>2412</v>
      </c>
      <c r="O263" s="94"/>
      <c r="P263" s="94"/>
    </row>
    <row r="264" spans="1:16" ht="31.5" x14ac:dyDescent="0.2">
      <c r="A264" s="42"/>
      <c r="B264" s="43" t="s">
        <v>321</v>
      </c>
      <c r="C264" s="44" t="s">
        <v>322</v>
      </c>
      <c r="D264" s="45" t="s">
        <v>26</v>
      </c>
      <c r="E264" s="105"/>
      <c r="F264" s="46">
        <f>F265+F266</f>
        <v>310</v>
      </c>
      <c r="G264" s="46">
        <f>G265+G266</f>
        <v>0</v>
      </c>
      <c r="H264" s="46">
        <f>H265+H266</f>
        <v>310</v>
      </c>
      <c r="I264" s="47">
        <f>I265+I266</f>
        <v>0</v>
      </c>
      <c r="J264" s="88"/>
      <c r="K264" s="47">
        <f>K265+K266</f>
        <v>0</v>
      </c>
      <c r="L264" s="46">
        <f>L265+L266</f>
        <v>310</v>
      </c>
      <c r="M264" s="46">
        <f>M265+M266</f>
        <v>0</v>
      </c>
      <c r="N264" s="46">
        <f>N265+N266</f>
        <v>310</v>
      </c>
      <c r="O264" s="94"/>
      <c r="P264" s="94"/>
    </row>
    <row r="265" spans="1:16" ht="31.5" x14ac:dyDescent="0.2">
      <c r="A265" s="42"/>
      <c r="B265" s="43" t="s">
        <v>35</v>
      </c>
      <c r="C265" s="44" t="s">
        <v>322</v>
      </c>
      <c r="D265" s="45" t="s">
        <v>36</v>
      </c>
      <c r="E265" s="105"/>
      <c r="F265" s="46">
        <v>300</v>
      </c>
      <c r="G265" s="46"/>
      <c r="H265" s="46">
        <v>300</v>
      </c>
      <c r="I265" s="47">
        <v>0</v>
      </c>
      <c r="J265" s="88"/>
      <c r="K265" s="47">
        <v>0</v>
      </c>
      <c r="L265" s="46">
        <v>300</v>
      </c>
      <c r="M265" s="46"/>
      <c r="N265" s="46">
        <v>300</v>
      </c>
      <c r="O265" s="94"/>
      <c r="P265" s="94"/>
    </row>
    <row r="266" spans="1:16" ht="15.75" x14ac:dyDescent="0.2">
      <c r="A266" s="42"/>
      <c r="B266" s="43" t="s">
        <v>54</v>
      </c>
      <c r="C266" s="44" t="s">
        <v>322</v>
      </c>
      <c r="D266" s="45" t="s">
        <v>55</v>
      </c>
      <c r="E266" s="105"/>
      <c r="F266" s="46">
        <v>10</v>
      </c>
      <c r="G266" s="46"/>
      <c r="H266" s="46">
        <v>10</v>
      </c>
      <c r="I266" s="47">
        <v>0</v>
      </c>
      <c r="J266" s="88"/>
      <c r="K266" s="47">
        <v>0</v>
      </c>
      <c r="L266" s="46">
        <v>10</v>
      </c>
      <c r="M266" s="46"/>
      <c r="N266" s="46">
        <v>10</v>
      </c>
      <c r="O266" s="94"/>
      <c r="P266" s="94"/>
    </row>
    <row r="267" spans="1:16" ht="31.5" x14ac:dyDescent="0.2">
      <c r="A267" s="49"/>
      <c r="B267" s="50" t="s">
        <v>323</v>
      </c>
      <c r="C267" s="51" t="s">
        <v>324</v>
      </c>
      <c r="D267" s="52" t="s">
        <v>26</v>
      </c>
      <c r="E267" s="106"/>
      <c r="F267" s="53">
        <f t="shared" ref="F267:N269" si="58">F268</f>
        <v>150</v>
      </c>
      <c r="G267" s="53">
        <f t="shared" si="58"/>
        <v>0</v>
      </c>
      <c r="H267" s="53">
        <f t="shared" si="58"/>
        <v>150</v>
      </c>
      <c r="I267" s="54">
        <f t="shared" si="58"/>
        <v>0</v>
      </c>
      <c r="J267" s="53">
        <f>J268</f>
        <v>0</v>
      </c>
      <c r="K267" s="54">
        <f t="shared" si="58"/>
        <v>0</v>
      </c>
      <c r="L267" s="53">
        <f t="shared" si="58"/>
        <v>150</v>
      </c>
      <c r="M267" s="53">
        <f t="shared" si="58"/>
        <v>0</v>
      </c>
      <c r="N267" s="53">
        <f t="shared" si="58"/>
        <v>150</v>
      </c>
      <c r="O267" s="95"/>
      <c r="P267" s="95"/>
    </row>
    <row r="268" spans="1:16" ht="47.25" x14ac:dyDescent="0.2">
      <c r="A268" s="42"/>
      <c r="B268" s="43" t="s">
        <v>325</v>
      </c>
      <c r="C268" s="44" t="s">
        <v>326</v>
      </c>
      <c r="D268" s="45" t="s">
        <v>26</v>
      </c>
      <c r="E268" s="105"/>
      <c r="F268" s="46">
        <f t="shared" si="58"/>
        <v>150</v>
      </c>
      <c r="G268" s="46">
        <f t="shared" si="58"/>
        <v>0</v>
      </c>
      <c r="H268" s="46">
        <f t="shared" si="58"/>
        <v>150</v>
      </c>
      <c r="I268" s="47">
        <f t="shared" si="58"/>
        <v>0</v>
      </c>
      <c r="J268" s="88"/>
      <c r="K268" s="47">
        <f t="shared" si="58"/>
        <v>0</v>
      </c>
      <c r="L268" s="46">
        <f t="shared" si="58"/>
        <v>150</v>
      </c>
      <c r="M268" s="46">
        <f t="shared" si="58"/>
        <v>0</v>
      </c>
      <c r="N268" s="46">
        <f t="shared" si="58"/>
        <v>150</v>
      </c>
      <c r="O268" s="94"/>
      <c r="P268" s="94"/>
    </row>
    <row r="269" spans="1:16" ht="33" customHeight="1" x14ac:dyDescent="0.2">
      <c r="A269" s="42"/>
      <c r="B269" s="43" t="s">
        <v>327</v>
      </c>
      <c r="C269" s="44" t="s">
        <v>328</v>
      </c>
      <c r="D269" s="45" t="s">
        <v>26</v>
      </c>
      <c r="E269" s="105"/>
      <c r="F269" s="46">
        <f t="shared" si="58"/>
        <v>150</v>
      </c>
      <c r="G269" s="46">
        <f t="shared" si="58"/>
        <v>0</v>
      </c>
      <c r="H269" s="46">
        <f t="shared" si="58"/>
        <v>150</v>
      </c>
      <c r="I269" s="47">
        <f t="shared" si="58"/>
        <v>0</v>
      </c>
      <c r="J269" s="88"/>
      <c r="K269" s="47">
        <f t="shared" si="58"/>
        <v>0</v>
      </c>
      <c r="L269" s="46">
        <f t="shared" si="58"/>
        <v>150</v>
      </c>
      <c r="M269" s="46">
        <f t="shared" si="58"/>
        <v>0</v>
      </c>
      <c r="N269" s="46">
        <f t="shared" si="58"/>
        <v>150</v>
      </c>
      <c r="O269" s="94"/>
      <c r="P269" s="94"/>
    </row>
    <row r="270" spans="1:16" ht="31.5" x14ac:dyDescent="0.2">
      <c r="A270" s="42"/>
      <c r="B270" s="43" t="s">
        <v>35</v>
      </c>
      <c r="C270" s="44" t="s">
        <v>328</v>
      </c>
      <c r="D270" s="45" t="s">
        <v>36</v>
      </c>
      <c r="E270" s="105"/>
      <c r="F270" s="46">
        <v>150</v>
      </c>
      <c r="G270" s="46"/>
      <c r="H270" s="46">
        <v>150</v>
      </c>
      <c r="I270" s="47">
        <v>0</v>
      </c>
      <c r="J270" s="88"/>
      <c r="K270" s="47">
        <v>0</v>
      </c>
      <c r="L270" s="46">
        <v>150</v>
      </c>
      <c r="M270" s="46"/>
      <c r="N270" s="46">
        <v>150</v>
      </c>
      <c r="O270" s="94"/>
      <c r="P270" s="94"/>
    </row>
    <row r="271" spans="1:16" ht="31.5" x14ac:dyDescent="0.2">
      <c r="A271" s="49"/>
      <c r="B271" s="50" t="s">
        <v>329</v>
      </c>
      <c r="C271" s="51" t="s">
        <v>330</v>
      </c>
      <c r="D271" s="52" t="s">
        <v>26</v>
      </c>
      <c r="E271" s="106"/>
      <c r="F271" s="53">
        <f t="shared" ref="F271:N272" si="59">F272</f>
        <v>2600</v>
      </c>
      <c r="G271" s="53">
        <f t="shared" si="59"/>
        <v>0</v>
      </c>
      <c r="H271" s="53">
        <f t="shared" si="59"/>
        <v>2600</v>
      </c>
      <c r="I271" s="54">
        <f t="shared" si="59"/>
        <v>0</v>
      </c>
      <c r="J271" s="53">
        <f t="shared" si="59"/>
        <v>0</v>
      </c>
      <c r="K271" s="54">
        <f t="shared" si="59"/>
        <v>0</v>
      </c>
      <c r="L271" s="53">
        <f t="shared" si="59"/>
        <v>2600</v>
      </c>
      <c r="M271" s="53">
        <f t="shared" si="59"/>
        <v>0</v>
      </c>
      <c r="N271" s="53">
        <f t="shared" si="59"/>
        <v>2600</v>
      </c>
      <c r="O271" s="95"/>
      <c r="P271" s="95"/>
    </row>
    <row r="272" spans="1:16" ht="96" customHeight="1" x14ac:dyDescent="0.2">
      <c r="A272" s="42"/>
      <c r="B272" s="126" t="s">
        <v>331</v>
      </c>
      <c r="C272" s="44" t="s">
        <v>332</v>
      </c>
      <c r="D272" s="45" t="s">
        <v>26</v>
      </c>
      <c r="E272" s="105"/>
      <c r="F272" s="46">
        <f t="shared" si="59"/>
        <v>2600</v>
      </c>
      <c r="G272" s="46">
        <f t="shared" si="59"/>
        <v>0</v>
      </c>
      <c r="H272" s="46">
        <f t="shared" si="59"/>
        <v>2600</v>
      </c>
      <c r="I272" s="47">
        <f t="shared" si="59"/>
        <v>0</v>
      </c>
      <c r="J272" s="88"/>
      <c r="K272" s="47">
        <f t="shared" si="59"/>
        <v>0</v>
      </c>
      <c r="L272" s="46">
        <f t="shared" si="59"/>
        <v>2600</v>
      </c>
      <c r="M272" s="46">
        <f t="shared" si="59"/>
        <v>0</v>
      </c>
      <c r="N272" s="46">
        <f t="shared" si="59"/>
        <v>2600</v>
      </c>
      <c r="O272" s="94"/>
      <c r="P272" s="94"/>
    </row>
    <row r="273" spans="1:16" ht="31.5" x14ac:dyDescent="0.2">
      <c r="A273" s="42"/>
      <c r="B273" s="43" t="s">
        <v>333</v>
      </c>
      <c r="C273" s="44" t="s">
        <v>334</v>
      </c>
      <c r="D273" s="45" t="s">
        <v>26</v>
      </c>
      <c r="E273" s="105"/>
      <c r="F273" s="46">
        <f>F274+F275</f>
        <v>2600</v>
      </c>
      <c r="G273" s="46">
        <f>G274+G275</f>
        <v>0</v>
      </c>
      <c r="H273" s="46">
        <f>H274+H275</f>
        <v>2600</v>
      </c>
      <c r="I273" s="47">
        <f>I274+I275</f>
        <v>0</v>
      </c>
      <c r="J273" s="88"/>
      <c r="K273" s="47">
        <f>K274+K275</f>
        <v>0</v>
      </c>
      <c r="L273" s="46">
        <f>L274+L275</f>
        <v>2600</v>
      </c>
      <c r="M273" s="46">
        <f>M274+M275</f>
        <v>0</v>
      </c>
      <c r="N273" s="46">
        <f>N274+N275</f>
        <v>2600</v>
      </c>
      <c r="O273" s="94"/>
      <c r="P273" s="94"/>
    </row>
    <row r="274" spans="1:16" ht="31.5" x14ac:dyDescent="0.2">
      <c r="A274" s="42"/>
      <c r="B274" s="43" t="s">
        <v>35</v>
      </c>
      <c r="C274" s="44" t="s">
        <v>334</v>
      </c>
      <c r="D274" s="45" t="s">
        <v>36</v>
      </c>
      <c r="E274" s="105"/>
      <c r="F274" s="46">
        <v>2536.8000000000002</v>
      </c>
      <c r="G274" s="46"/>
      <c r="H274" s="46">
        <v>2536.8000000000002</v>
      </c>
      <c r="I274" s="47">
        <v>0</v>
      </c>
      <c r="J274" s="88"/>
      <c r="K274" s="47">
        <v>0</v>
      </c>
      <c r="L274" s="46">
        <v>2536.8000000000002</v>
      </c>
      <c r="M274" s="46"/>
      <c r="N274" s="46">
        <v>2536.8000000000002</v>
      </c>
      <c r="O274" s="94"/>
      <c r="P274" s="94"/>
    </row>
    <row r="275" spans="1:16" ht="15.75" x14ac:dyDescent="0.2">
      <c r="A275" s="42"/>
      <c r="B275" s="43" t="s">
        <v>41</v>
      </c>
      <c r="C275" s="44" t="s">
        <v>334</v>
      </c>
      <c r="D275" s="45" t="s">
        <v>42</v>
      </c>
      <c r="E275" s="105"/>
      <c r="F275" s="46">
        <v>63.2</v>
      </c>
      <c r="G275" s="46"/>
      <c r="H275" s="46">
        <v>63.2</v>
      </c>
      <c r="I275" s="47">
        <v>0</v>
      </c>
      <c r="J275" s="88"/>
      <c r="K275" s="47">
        <v>0</v>
      </c>
      <c r="L275" s="46">
        <v>63.2</v>
      </c>
      <c r="M275" s="46"/>
      <c r="N275" s="46">
        <v>63.2</v>
      </c>
      <c r="O275" s="94"/>
      <c r="P275" s="94"/>
    </row>
    <row r="276" spans="1:16" ht="31.5" x14ac:dyDescent="0.2">
      <c r="A276" s="19" t="s">
        <v>335</v>
      </c>
      <c r="B276" s="20" t="s">
        <v>336</v>
      </c>
      <c r="C276" s="21" t="s">
        <v>337</v>
      </c>
      <c r="D276" s="22" t="s">
        <v>26</v>
      </c>
      <c r="E276" s="104"/>
      <c r="F276" s="23">
        <f>F277+F287+F284</f>
        <v>29650.7</v>
      </c>
      <c r="G276" s="23">
        <f>G277+G287+G284</f>
        <v>6251.1</v>
      </c>
      <c r="H276" s="23">
        <f>H277+H287+H284</f>
        <v>35901.800000000003</v>
      </c>
      <c r="I276" s="24">
        <f t="shared" ref="F276:N277" si="60">I277</f>
        <v>72045</v>
      </c>
      <c r="J276" s="23">
        <f>J277+J287</f>
        <v>47345.599999999999</v>
      </c>
      <c r="K276" s="24">
        <f t="shared" si="60"/>
        <v>119390.6</v>
      </c>
      <c r="L276" s="23">
        <f>L277+L287+L284</f>
        <v>101695.70000000001</v>
      </c>
      <c r="M276" s="23">
        <f>M277+M287+M284</f>
        <v>53596.7</v>
      </c>
      <c r="N276" s="23">
        <f>N277+N287+N284</f>
        <v>155292.40000000002</v>
      </c>
      <c r="O276" s="93"/>
      <c r="P276" s="93"/>
    </row>
    <row r="277" spans="1:16" ht="15.75" x14ac:dyDescent="0.2">
      <c r="A277" s="49"/>
      <c r="B277" s="50" t="s">
        <v>338</v>
      </c>
      <c r="C277" s="51" t="s">
        <v>339</v>
      </c>
      <c r="D277" s="52" t="s">
        <v>26</v>
      </c>
      <c r="E277" s="106"/>
      <c r="F277" s="53">
        <f t="shared" si="60"/>
        <v>19584.7</v>
      </c>
      <c r="G277" s="53">
        <f t="shared" si="60"/>
        <v>6251.1</v>
      </c>
      <c r="H277" s="53">
        <f t="shared" si="60"/>
        <v>25835.800000000003</v>
      </c>
      <c r="I277" s="54">
        <f t="shared" si="60"/>
        <v>72045</v>
      </c>
      <c r="J277" s="53">
        <f t="shared" si="60"/>
        <v>47345.599999999999</v>
      </c>
      <c r="K277" s="54">
        <f t="shared" si="60"/>
        <v>119390.6</v>
      </c>
      <c r="L277" s="53">
        <f t="shared" si="60"/>
        <v>91629.700000000012</v>
      </c>
      <c r="M277" s="53">
        <f t="shared" si="60"/>
        <v>53596.7</v>
      </c>
      <c r="N277" s="53">
        <f t="shared" si="60"/>
        <v>145226.40000000002</v>
      </c>
      <c r="O277" s="95"/>
      <c r="P277" s="95"/>
    </row>
    <row r="278" spans="1:16" ht="47.25" x14ac:dyDescent="0.2">
      <c r="A278" s="42"/>
      <c r="B278" s="43" t="s">
        <v>340</v>
      </c>
      <c r="C278" s="44" t="s">
        <v>341</v>
      </c>
      <c r="D278" s="45" t="s">
        <v>26</v>
      </c>
      <c r="E278" s="105"/>
      <c r="F278" s="46">
        <f>F279+F282</f>
        <v>19584.7</v>
      </c>
      <c r="G278" s="46">
        <f>G279+G282</f>
        <v>6251.1</v>
      </c>
      <c r="H278" s="46">
        <f>H279+H282</f>
        <v>25835.800000000003</v>
      </c>
      <c r="I278" s="47">
        <f>I279+I282</f>
        <v>72045</v>
      </c>
      <c r="J278" s="88">
        <f>SUM(J282)</f>
        <v>47345.599999999999</v>
      </c>
      <c r="K278" s="47">
        <f>K279+K282</f>
        <v>119390.6</v>
      </c>
      <c r="L278" s="46">
        <f>L279+L282</f>
        <v>91629.700000000012</v>
      </c>
      <c r="M278" s="46">
        <f>M279+M282</f>
        <v>53596.7</v>
      </c>
      <c r="N278" s="46">
        <f>N279+N282</f>
        <v>145226.40000000002</v>
      </c>
      <c r="O278" s="94"/>
      <c r="P278" s="94"/>
    </row>
    <row r="279" spans="1:16" ht="36" customHeight="1" x14ac:dyDescent="0.2">
      <c r="A279" s="42"/>
      <c r="B279" s="43" t="s">
        <v>342</v>
      </c>
      <c r="C279" s="44" t="s">
        <v>343</v>
      </c>
      <c r="D279" s="45" t="s">
        <v>26</v>
      </c>
      <c r="E279" s="105"/>
      <c r="F279" s="46">
        <f>F280+F281</f>
        <v>6983.6</v>
      </c>
      <c r="G279" s="46">
        <f>G280+G281</f>
        <v>0</v>
      </c>
      <c r="H279" s="46">
        <f>H280+H281</f>
        <v>6983.6</v>
      </c>
      <c r="I279" s="47">
        <f>I280+I281</f>
        <v>0</v>
      </c>
      <c r="J279" s="88"/>
      <c r="K279" s="47">
        <f>K280+K281</f>
        <v>0</v>
      </c>
      <c r="L279" s="46">
        <f>L280+L281</f>
        <v>6983.6</v>
      </c>
      <c r="M279" s="46">
        <f>M280+M281</f>
        <v>0</v>
      </c>
      <c r="N279" s="46">
        <f>N280+N281</f>
        <v>6983.6</v>
      </c>
      <c r="O279" s="94"/>
      <c r="P279" s="94"/>
    </row>
    <row r="280" spans="1:16" ht="31.5" x14ac:dyDescent="0.2">
      <c r="A280" s="42"/>
      <c r="B280" s="43" t="s">
        <v>35</v>
      </c>
      <c r="C280" s="44" t="s">
        <v>343</v>
      </c>
      <c r="D280" s="45" t="s">
        <v>36</v>
      </c>
      <c r="E280" s="105"/>
      <c r="F280" s="46">
        <v>1198</v>
      </c>
      <c r="G280" s="46">
        <v>540</v>
      </c>
      <c r="H280" s="46">
        <f>1198+G280</f>
        <v>1738</v>
      </c>
      <c r="I280" s="47">
        <v>0</v>
      </c>
      <c r="J280" s="88"/>
      <c r="K280" s="47">
        <v>0</v>
      </c>
      <c r="L280" s="46">
        <f t="shared" ref="L280:N281" si="61">SUM(F280)</f>
        <v>1198</v>
      </c>
      <c r="M280" s="71">
        <f t="shared" si="61"/>
        <v>540</v>
      </c>
      <c r="N280" s="46">
        <f t="shared" si="61"/>
        <v>1738</v>
      </c>
      <c r="O280" s="94"/>
      <c r="P280" s="94"/>
    </row>
    <row r="281" spans="1:16" ht="31.5" x14ac:dyDescent="0.2">
      <c r="A281" s="42"/>
      <c r="B281" s="43" t="s">
        <v>131</v>
      </c>
      <c r="C281" s="44" t="s">
        <v>343</v>
      </c>
      <c r="D281" s="45" t="s">
        <v>132</v>
      </c>
      <c r="E281" s="105"/>
      <c r="F281" s="71">
        <v>5785.6</v>
      </c>
      <c r="G281" s="71">
        <v>-540</v>
      </c>
      <c r="H281" s="71">
        <f>5785.6+G281</f>
        <v>5245.6</v>
      </c>
      <c r="I281" s="47">
        <v>0</v>
      </c>
      <c r="J281" s="114"/>
      <c r="K281" s="47">
        <v>0</v>
      </c>
      <c r="L281" s="71">
        <f t="shared" si="61"/>
        <v>5785.6</v>
      </c>
      <c r="M281" s="71">
        <f t="shared" si="61"/>
        <v>-540</v>
      </c>
      <c r="N281" s="71">
        <f t="shared" si="61"/>
        <v>5245.6</v>
      </c>
      <c r="O281" s="94"/>
      <c r="P281" s="94"/>
    </row>
    <row r="282" spans="1:16" ht="15.75" x14ac:dyDescent="0.2">
      <c r="A282" s="42"/>
      <c r="B282" s="43" t="s">
        <v>344</v>
      </c>
      <c r="C282" s="44" t="s">
        <v>345</v>
      </c>
      <c r="D282" s="45" t="s">
        <v>26</v>
      </c>
      <c r="E282" s="105"/>
      <c r="F282" s="46">
        <f>F283</f>
        <v>12601.1</v>
      </c>
      <c r="G282" s="46">
        <f>G283</f>
        <v>6251.1</v>
      </c>
      <c r="H282" s="46">
        <f>H283</f>
        <v>18852.2</v>
      </c>
      <c r="I282" s="47">
        <f>I283</f>
        <v>72045</v>
      </c>
      <c r="J282" s="113">
        <v>47345.599999999999</v>
      </c>
      <c r="K282" s="47">
        <f>K283</f>
        <v>119390.6</v>
      </c>
      <c r="L282" s="46">
        <f>L283</f>
        <v>84646.1</v>
      </c>
      <c r="M282" s="46">
        <f>M283</f>
        <v>53596.7</v>
      </c>
      <c r="N282" s="46">
        <f>N283</f>
        <v>138242.80000000002</v>
      </c>
      <c r="O282" s="94"/>
      <c r="P282" s="94"/>
    </row>
    <row r="283" spans="1:16" ht="31.5" x14ac:dyDescent="0.2">
      <c r="A283" s="42"/>
      <c r="B283" s="43" t="s">
        <v>131</v>
      </c>
      <c r="C283" s="44" t="s">
        <v>345</v>
      </c>
      <c r="D283" s="45" t="s">
        <v>132</v>
      </c>
      <c r="E283" s="105"/>
      <c r="F283" s="77">
        <f>10781.1-840+1820+840</f>
        <v>12601.1</v>
      </c>
      <c r="G283" s="77">
        <f>1440.1+4811</f>
        <v>6251.1</v>
      </c>
      <c r="H283" s="77">
        <f>10781.1-840+1820+840+G283</f>
        <v>18852.2</v>
      </c>
      <c r="I283" s="47">
        <f>60865+11180</f>
        <v>72045</v>
      </c>
      <c r="J283" s="113">
        <v>47345.599999999999</v>
      </c>
      <c r="K283" s="47">
        <f>60865+11180+J283</f>
        <v>119390.6</v>
      </c>
      <c r="L283" s="77">
        <f>SUM(F283)+I283</f>
        <v>84646.1</v>
      </c>
      <c r="M283" s="77">
        <f>SUM(G283)+J283</f>
        <v>53596.7</v>
      </c>
      <c r="N283" s="77">
        <f>SUM(H283)+K283</f>
        <v>138242.80000000002</v>
      </c>
      <c r="O283" s="94"/>
      <c r="P283" s="94"/>
    </row>
    <row r="284" spans="1:16" ht="15.75" x14ac:dyDescent="0.2">
      <c r="A284" s="42"/>
      <c r="B284" s="43" t="s">
        <v>346</v>
      </c>
      <c r="C284" s="44" t="s">
        <v>347</v>
      </c>
      <c r="D284" s="45"/>
      <c r="E284" s="105"/>
      <c r="F284" s="77">
        <v>8102</v>
      </c>
      <c r="G284" s="77">
        <f>SUM(G286)</f>
        <v>0</v>
      </c>
      <c r="H284" s="77">
        <f>SUM(F284)</f>
        <v>8102</v>
      </c>
      <c r="I284" s="47"/>
      <c r="J284" s="113"/>
      <c r="K284" s="47"/>
      <c r="L284" s="77">
        <f>SUM(F284)</f>
        <v>8102</v>
      </c>
      <c r="M284" s="77">
        <f>SUM(G284)</f>
        <v>0</v>
      </c>
      <c r="N284" s="77">
        <f>SUM(H284)</f>
        <v>8102</v>
      </c>
      <c r="O284" s="94"/>
      <c r="P284" s="94"/>
    </row>
    <row r="285" spans="1:16" ht="1.5" customHeight="1" x14ac:dyDescent="0.2">
      <c r="A285" s="42"/>
      <c r="B285" s="43"/>
      <c r="C285" s="44"/>
      <c r="D285" s="45"/>
      <c r="E285" s="105"/>
      <c r="F285" s="77"/>
      <c r="G285" s="77">
        <f>SUM(G286)</f>
        <v>0</v>
      </c>
      <c r="H285" s="77">
        <f>SUM(G285)</f>
        <v>0</v>
      </c>
      <c r="I285" s="47"/>
      <c r="J285" s="113"/>
      <c r="K285" s="47"/>
      <c r="L285" s="77"/>
      <c r="M285" s="77">
        <f>SUM(G285)</f>
        <v>0</v>
      </c>
      <c r="N285" s="77">
        <f>SUM(M285)</f>
        <v>0</v>
      </c>
      <c r="O285" s="94"/>
      <c r="P285" s="94"/>
    </row>
    <row r="286" spans="1:16" ht="31.5" x14ac:dyDescent="0.2">
      <c r="A286" s="42"/>
      <c r="B286" s="43" t="s">
        <v>131</v>
      </c>
      <c r="C286" s="44" t="s">
        <v>347</v>
      </c>
      <c r="D286" s="45" t="s">
        <v>132</v>
      </c>
      <c r="E286" s="105"/>
      <c r="F286" s="77">
        <v>8102</v>
      </c>
      <c r="G286" s="77"/>
      <c r="H286" s="77">
        <f>SUM(F286)</f>
        <v>8102</v>
      </c>
      <c r="I286" s="47"/>
      <c r="J286" s="113"/>
      <c r="K286" s="47"/>
      <c r="L286" s="77">
        <f>SUM(F286)</f>
        <v>8102</v>
      </c>
      <c r="M286" s="77">
        <f>SUM(G286)</f>
        <v>0</v>
      </c>
      <c r="N286" s="77">
        <f>SUM(H286)</f>
        <v>8102</v>
      </c>
      <c r="O286" s="94"/>
      <c r="P286" s="94"/>
    </row>
    <row r="287" spans="1:16" ht="15.75" x14ac:dyDescent="0.2">
      <c r="A287" s="42"/>
      <c r="B287" s="50" t="s">
        <v>348</v>
      </c>
      <c r="C287" s="51" t="s">
        <v>349</v>
      </c>
      <c r="D287" s="52"/>
      <c r="E287" s="106"/>
      <c r="F287" s="53">
        <f>SUM(F289)</f>
        <v>1964</v>
      </c>
      <c r="G287" s="53">
        <f>SUM(G289)</f>
        <v>0</v>
      </c>
      <c r="H287" s="53">
        <f>SUM(H289)</f>
        <v>1964</v>
      </c>
      <c r="I287" s="54"/>
      <c r="J287" s="53">
        <f>SUM(J289)</f>
        <v>0</v>
      </c>
      <c r="K287" s="54"/>
      <c r="L287" s="53">
        <f>SUM(L289)</f>
        <v>1964</v>
      </c>
      <c r="M287" s="53">
        <f>SUM(M289)</f>
        <v>0</v>
      </c>
      <c r="N287" s="53">
        <f>SUM(N289)</f>
        <v>1964</v>
      </c>
      <c r="O287" s="95"/>
      <c r="P287" s="95"/>
    </row>
    <row r="288" spans="1:16" ht="47.25" x14ac:dyDescent="0.2">
      <c r="A288" s="42"/>
      <c r="B288" s="43" t="s">
        <v>350</v>
      </c>
      <c r="C288" s="44" t="s">
        <v>351</v>
      </c>
      <c r="D288" s="45"/>
      <c r="E288" s="105"/>
      <c r="F288" s="46">
        <f>SUM(F289)</f>
        <v>1964</v>
      </c>
      <c r="G288" s="46">
        <f>SUM(G289)</f>
        <v>0</v>
      </c>
      <c r="H288" s="46">
        <f>SUM(H289)</f>
        <v>1964</v>
      </c>
      <c r="I288" s="47"/>
      <c r="J288" s="88"/>
      <c r="K288" s="47"/>
      <c r="L288" s="46">
        <f>SUM(L289)</f>
        <v>1964</v>
      </c>
      <c r="M288" s="46">
        <f>SUM(M289)</f>
        <v>0</v>
      </c>
      <c r="N288" s="46">
        <f>SUM(N289)</f>
        <v>1964</v>
      </c>
      <c r="O288" s="94"/>
      <c r="P288" s="94"/>
    </row>
    <row r="289" spans="1:17" ht="15.75" x14ac:dyDescent="0.2">
      <c r="A289" s="42"/>
      <c r="B289" s="43" t="s">
        <v>348</v>
      </c>
      <c r="C289" s="44" t="s">
        <v>352</v>
      </c>
      <c r="D289" s="45"/>
      <c r="E289" s="105"/>
      <c r="F289" s="46">
        <v>1964</v>
      </c>
      <c r="G289" s="46"/>
      <c r="H289" s="46">
        <v>1964</v>
      </c>
      <c r="I289" s="47"/>
      <c r="J289" s="88"/>
      <c r="K289" s="47"/>
      <c r="L289" s="46">
        <v>1964</v>
      </c>
      <c r="M289" s="46"/>
      <c r="N289" s="46">
        <v>1964</v>
      </c>
      <c r="O289" s="94"/>
      <c r="P289" s="94"/>
    </row>
    <row r="290" spans="1:17" ht="31.5" x14ac:dyDescent="0.2">
      <c r="A290" s="42"/>
      <c r="B290" s="43" t="s">
        <v>131</v>
      </c>
      <c r="C290" s="44" t="s">
        <v>352</v>
      </c>
      <c r="D290" s="45" t="s">
        <v>132</v>
      </c>
      <c r="E290" s="105"/>
      <c r="F290" s="46">
        <v>1964</v>
      </c>
      <c r="G290" s="46"/>
      <c r="H290" s="46">
        <v>1964</v>
      </c>
      <c r="I290" s="47"/>
      <c r="J290" s="88"/>
      <c r="K290" s="47"/>
      <c r="L290" s="46">
        <v>1964</v>
      </c>
      <c r="M290" s="46"/>
      <c r="N290" s="46">
        <v>1964</v>
      </c>
      <c r="O290" s="94"/>
      <c r="P290" s="94"/>
    </row>
    <row r="291" spans="1:17" ht="31.5" x14ac:dyDescent="0.2">
      <c r="A291" s="19" t="s">
        <v>353</v>
      </c>
      <c r="B291" s="20" t="s">
        <v>354</v>
      </c>
      <c r="C291" s="21" t="s">
        <v>355</v>
      </c>
      <c r="D291" s="22" t="s">
        <v>26</v>
      </c>
      <c r="E291" s="104"/>
      <c r="F291" s="23">
        <f t="shared" ref="F291:N291" si="62">F292+F305+F311</f>
        <v>69929.200000000012</v>
      </c>
      <c r="G291" s="23">
        <f t="shared" si="62"/>
        <v>-6960.3</v>
      </c>
      <c r="H291" s="23">
        <f t="shared" si="62"/>
        <v>62968.9</v>
      </c>
      <c r="I291" s="24">
        <f t="shared" si="62"/>
        <v>0</v>
      </c>
      <c r="J291" s="23">
        <f t="shared" si="62"/>
        <v>0</v>
      </c>
      <c r="K291" s="24">
        <f t="shared" si="62"/>
        <v>0</v>
      </c>
      <c r="L291" s="23">
        <f t="shared" si="62"/>
        <v>69929.200000000012</v>
      </c>
      <c r="M291" s="23">
        <f t="shared" si="62"/>
        <v>-6960.3</v>
      </c>
      <c r="N291" s="23">
        <f t="shared" si="62"/>
        <v>62968.9</v>
      </c>
      <c r="O291" s="93"/>
      <c r="P291" s="93"/>
      <c r="Q291" s="25"/>
    </row>
    <row r="292" spans="1:17" ht="15.75" x14ac:dyDescent="0.2">
      <c r="A292" s="49"/>
      <c r="B292" s="50" t="s">
        <v>356</v>
      </c>
      <c r="C292" s="51" t="s">
        <v>357</v>
      </c>
      <c r="D292" s="52" t="s">
        <v>26</v>
      </c>
      <c r="E292" s="106"/>
      <c r="F292" s="53">
        <f t="shared" ref="F292:N292" si="63">F293+F298</f>
        <v>47348.4</v>
      </c>
      <c r="G292" s="53">
        <f>G293+G302</f>
        <v>0</v>
      </c>
      <c r="H292" s="53">
        <f t="shared" si="63"/>
        <v>47348.4</v>
      </c>
      <c r="I292" s="54">
        <f t="shared" si="63"/>
        <v>0</v>
      </c>
      <c r="J292" s="53">
        <f t="shared" si="63"/>
        <v>0</v>
      </c>
      <c r="K292" s="54">
        <f t="shared" si="63"/>
        <v>0</v>
      </c>
      <c r="L292" s="53">
        <f t="shared" si="63"/>
        <v>47348.4</v>
      </c>
      <c r="M292" s="53">
        <f t="shared" si="63"/>
        <v>0</v>
      </c>
      <c r="N292" s="53">
        <f t="shared" si="63"/>
        <v>47348.4</v>
      </c>
      <c r="O292" s="95"/>
      <c r="P292" s="95"/>
      <c r="Q292" s="55"/>
    </row>
    <row r="293" spans="1:17" ht="15.75" x14ac:dyDescent="0.2">
      <c r="A293" s="42"/>
      <c r="B293" s="43" t="s">
        <v>358</v>
      </c>
      <c r="C293" s="44" t="s">
        <v>359</v>
      </c>
      <c r="D293" s="45" t="s">
        <v>26</v>
      </c>
      <c r="E293" s="105"/>
      <c r="F293" s="46">
        <f>F294</f>
        <v>36467.9</v>
      </c>
      <c r="G293" s="46">
        <f>G294</f>
        <v>0</v>
      </c>
      <c r="H293" s="46">
        <f>H294</f>
        <v>36467.9</v>
      </c>
      <c r="I293" s="47">
        <f>I294</f>
        <v>0</v>
      </c>
      <c r="J293" s="88"/>
      <c r="K293" s="47">
        <f>K294</f>
        <v>0</v>
      </c>
      <c r="L293" s="46">
        <f>L294</f>
        <v>36467.9</v>
      </c>
      <c r="M293" s="46">
        <f>M294</f>
        <v>0</v>
      </c>
      <c r="N293" s="46">
        <f>N294</f>
        <v>36467.9</v>
      </c>
      <c r="O293" s="94"/>
      <c r="P293" s="94"/>
    </row>
    <row r="294" spans="1:17" ht="31.5" x14ac:dyDescent="0.2">
      <c r="A294" s="42"/>
      <c r="B294" s="43" t="s">
        <v>39</v>
      </c>
      <c r="C294" s="44" t="s">
        <v>360</v>
      </c>
      <c r="D294" s="45" t="s">
        <v>26</v>
      </c>
      <c r="E294" s="105"/>
      <c r="F294" s="46">
        <f>F295+F296+F297</f>
        <v>36467.9</v>
      </c>
      <c r="G294" s="46">
        <f>G295+G296</f>
        <v>0</v>
      </c>
      <c r="H294" s="46">
        <f>H295+H296+H297</f>
        <v>36467.9</v>
      </c>
      <c r="I294" s="47">
        <f>I295+I296+I297</f>
        <v>0</v>
      </c>
      <c r="J294" s="88"/>
      <c r="K294" s="47">
        <f>K295+K296+K297</f>
        <v>0</v>
      </c>
      <c r="L294" s="46">
        <f>L295+L296+L297</f>
        <v>36467.9</v>
      </c>
      <c r="M294" s="46">
        <f>M295+M296+M297</f>
        <v>0</v>
      </c>
      <c r="N294" s="46">
        <f>N295+N296+N297</f>
        <v>36467.9</v>
      </c>
      <c r="O294" s="94"/>
      <c r="P294" s="94"/>
    </row>
    <row r="295" spans="1:17" ht="64.150000000000006" customHeight="1" x14ac:dyDescent="0.2">
      <c r="A295" s="42"/>
      <c r="B295" s="43" t="s">
        <v>31</v>
      </c>
      <c r="C295" s="44" t="s">
        <v>360</v>
      </c>
      <c r="D295" s="45" t="s">
        <v>32</v>
      </c>
      <c r="E295" s="105"/>
      <c r="F295" s="46">
        <v>25539</v>
      </c>
      <c r="G295" s="46"/>
      <c r="H295" s="46">
        <v>25539</v>
      </c>
      <c r="I295" s="47">
        <v>0</v>
      </c>
      <c r="J295" s="88"/>
      <c r="K295" s="47">
        <v>0</v>
      </c>
      <c r="L295" s="46">
        <f t="shared" ref="L295:N296" si="64">SUM(F295)</f>
        <v>25539</v>
      </c>
      <c r="M295" s="46">
        <f t="shared" si="64"/>
        <v>0</v>
      </c>
      <c r="N295" s="46">
        <f t="shared" si="64"/>
        <v>25539</v>
      </c>
      <c r="O295" s="94"/>
      <c r="P295" s="94"/>
    </row>
    <row r="296" spans="1:17" ht="31.5" x14ac:dyDescent="0.2">
      <c r="A296" s="42"/>
      <c r="B296" s="43" t="s">
        <v>35</v>
      </c>
      <c r="C296" s="44" t="s">
        <v>360</v>
      </c>
      <c r="D296" s="45" t="s">
        <v>36</v>
      </c>
      <c r="E296" s="105"/>
      <c r="F296" s="46">
        <v>10851.5</v>
      </c>
      <c r="G296" s="46"/>
      <c r="H296" s="46">
        <v>10851.5</v>
      </c>
      <c r="I296" s="47">
        <v>0</v>
      </c>
      <c r="J296" s="88"/>
      <c r="K296" s="47">
        <v>0</v>
      </c>
      <c r="L296" s="46">
        <f t="shared" si="64"/>
        <v>10851.5</v>
      </c>
      <c r="M296" s="46">
        <f t="shared" si="64"/>
        <v>0</v>
      </c>
      <c r="N296" s="46">
        <f t="shared" si="64"/>
        <v>10851.5</v>
      </c>
      <c r="O296" s="94"/>
      <c r="P296" s="94"/>
    </row>
    <row r="297" spans="1:17" ht="15.75" x14ac:dyDescent="0.2">
      <c r="A297" s="42"/>
      <c r="B297" s="43" t="s">
        <v>41</v>
      </c>
      <c r="C297" s="44" t="s">
        <v>360</v>
      </c>
      <c r="D297" s="45" t="s">
        <v>42</v>
      </c>
      <c r="E297" s="105"/>
      <c r="F297" s="46">
        <v>77.400000000000006</v>
      </c>
      <c r="G297" s="46"/>
      <c r="H297" s="46">
        <v>77.400000000000006</v>
      </c>
      <c r="I297" s="47">
        <v>0</v>
      </c>
      <c r="J297" s="88"/>
      <c r="K297" s="47">
        <v>0</v>
      </c>
      <c r="L297" s="46">
        <v>77.400000000000006</v>
      </c>
      <c r="M297" s="46"/>
      <c r="N297" s="46">
        <v>77.400000000000006</v>
      </c>
      <c r="O297" s="94"/>
      <c r="P297" s="94"/>
    </row>
    <row r="298" spans="1:17" ht="31.5" x14ac:dyDescent="0.2">
      <c r="A298" s="42"/>
      <c r="B298" s="43" t="s">
        <v>361</v>
      </c>
      <c r="C298" s="44" t="s">
        <v>362</v>
      </c>
      <c r="D298" s="45" t="s">
        <v>26</v>
      </c>
      <c r="E298" s="105"/>
      <c r="F298" s="46">
        <f>F299+F302</f>
        <v>10880.5</v>
      </c>
      <c r="G298" s="46">
        <f>G299+G302</f>
        <v>0</v>
      </c>
      <c r="H298" s="46">
        <f>H299+H302</f>
        <v>10880.5</v>
      </c>
      <c r="I298" s="47">
        <f>I299+I302</f>
        <v>0</v>
      </c>
      <c r="J298" s="88"/>
      <c r="K298" s="47">
        <f>K299+K302</f>
        <v>0</v>
      </c>
      <c r="L298" s="46">
        <f>L299+L302</f>
        <v>10880.5</v>
      </c>
      <c r="M298" s="46">
        <f>M299+M302</f>
        <v>0</v>
      </c>
      <c r="N298" s="46">
        <f>N299+N302</f>
        <v>10880.5</v>
      </c>
      <c r="O298" s="94"/>
      <c r="P298" s="94"/>
    </row>
    <row r="299" spans="1:17" ht="31.5" x14ac:dyDescent="0.2">
      <c r="A299" s="42"/>
      <c r="B299" s="43" t="s">
        <v>39</v>
      </c>
      <c r="C299" s="44" t="s">
        <v>363</v>
      </c>
      <c r="D299" s="45" t="s">
        <v>26</v>
      </c>
      <c r="E299" s="105"/>
      <c r="F299" s="46">
        <f>F300+F301</f>
        <v>9205.9</v>
      </c>
      <c r="G299" s="46">
        <f>G300+G301</f>
        <v>0</v>
      </c>
      <c r="H299" s="46">
        <f>H300+H301</f>
        <v>9205.9</v>
      </c>
      <c r="I299" s="47">
        <f>I300+I301</f>
        <v>0</v>
      </c>
      <c r="J299" s="88"/>
      <c r="K299" s="47">
        <f>K300+K301</f>
        <v>0</v>
      </c>
      <c r="L299" s="46">
        <f>L300+L301</f>
        <v>9205.9</v>
      </c>
      <c r="M299" s="46">
        <f>M300+M301</f>
        <v>0</v>
      </c>
      <c r="N299" s="46">
        <f>N300+N301</f>
        <v>9205.9</v>
      </c>
      <c r="O299" s="94"/>
      <c r="P299" s="94"/>
    </row>
    <row r="300" spans="1:17" ht="64.150000000000006" customHeight="1" x14ac:dyDescent="0.2">
      <c r="A300" s="42"/>
      <c r="B300" s="43" t="s">
        <v>31</v>
      </c>
      <c r="C300" s="44" t="s">
        <v>363</v>
      </c>
      <c r="D300" s="45" t="s">
        <v>32</v>
      </c>
      <c r="E300" s="105"/>
      <c r="F300" s="46">
        <v>8505.9</v>
      </c>
      <c r="G300" s="46"/>
      <c r="H300" s="46">
        <v>8505.9</v>
      </c>
      <c r="I300" s="47">
        <v>0</v>
      </c>
      <c r="J300" s="88"/>
      <c r="K300" s="47">
        <v>0</v>
      </c>
      <c r="L300" s="46">
        <v>8505.9</v>
      </c>
      <c r="M300" s="46"/>
      <c r="N300" s="46">
        <v>8505.9</v>
      </c>
      <c r="O300" s="94"/>
      <c r="P300" s="94"/>
    </row>
    <row r="301" spans="1:17" ht="31.5" x14ac:dyDescent="0.2">
      <c r="A301" s="42"/>
      <c r="B301" s="43" t="s">
        <v>35</v>
      </c>
      <c r="C301" s="44" t="s">
        <v>363</v>
      </c>
      <c r="D301" s="45" t="s">
        <v>36</v>
      </c>
      <c r="E301" s="105"/>
      <c r="F301" s="46">
        <v>700</v>
      </c>
      <c r="G301" s="46"/>
      <c r="H301" s="46">
        <v>700</v>
      </c>
      <c r="I301" s="47">
        <v>0</v>
      </c>
      <c r="J301" s="88"/>
      <c r="K301" s="47">
        <v>0</v>
      </c>
      <c r="L301" s="46">
        <v>700</v>
      </c>
      <c r="M301" s="46"/>
      <c r="N301" s="46">
        <v>700</v>
      </c>
      <c r="O301" s="94"/>
      <c r="P301" s="94"/>
    </row>
    <row r="302" spans="1:17" ht="31.5" x14ac:dyDescent="0.2">
      <c r="A302" s="42"/>
      <c r="B302" s="43" t="s">
        <v>364</v>
      </c>
      <c r="C302" s="44" t="s">
        <v>365</v>
      </c>
      <c r="D302" s="45" t="s">
        <v>26</v>
      </c>
      <c r="E302" s="105"/>
      <c r="F302" s="46">
        <f>F303+F304</f>
        <v>1674.6</v>
      </c>
      <c r="G302" s="46">
        <f>SUM(G303)</f>
        <v>0</v>
      </c>
      <c r="H302" s="46">
        <f>H303+H304</f>
        <v>1674.6</v>
      </c>
      <c r="I302" s="47">
        <f>I303+I304</f>
        <v>0</v>
      </c>
      <c r="J302" s="88"/>
      <c r="K302" s="47">
        <f>K303+K304</f>
        <v>0</v>
      </c>
      <c r="L302" s="46">
        <f>SUM(F302)</f>
        <v>1674.6</v>
      </c>
      <c r="M302" s="46">
        <f>SUM(M303)</f>
        <v>0</v>
      </c>
      <c r="N302" s="46">
        <f>SUM(H302)</f>
        <v>1674.6</v>
      </c>
      <c r="O302" s="94"/>
      <c r="P302" s="94"/>
    </row>
    <row r="303" spans="1:17" ht="31.5" x14ac:dyDescent="0.2">
      <c r="A303" s="42"/>
      <c r="B303" s="43" t="s">
        <v>35</v>
      </c>
      <c r="C303" s="44" t="s">
        <v>365</v>
      </c>
      <c r="D303" s="45" t="s">
        <v>36</v>
      </c>
      <c r="E303" s="105"/>
      <c r="F303" s="46">
        <v>855</v>
      </c>
      <c r="G303" s="46"/>
      <c r="H303" s="46">
        <v>855</v>
      </c>
      <c r="I303" s="47">
        <v>0</v>
      </c>
      <c r="J303" s="88"/>
      <c r="K303" s="47">
        <v>0</v>
      </c>
      <c r="L303" s="46">
        <f>1000.2-745.2</f>
        <v>255</v>
      </c>
      <c r="M303" s="46">
        <f>SUM(G303)</f>
        <v>0</v>
      </c>
      <c r="N303" s="46">
        <f>1000.2-745.2+M303</f>
        <v>255</v>
      </c>
      <c r="O303" s="94"/>
      <c r="P303" s="94"/>
    </row>
    <row r="304" spans="1:17" ht="15.75" x14ac:dyDescent="0.2">
      <c r="A304" s="42"/>
      <c r="B304" s="43" t="s">
        <v>41</v>
      </c>
      <c r="C304" s="44" t="s">
        <v>365</v>
      </c>
      <c r="D304" s="45" t="s">
        <v>42</v>
      </c>
      <c r="E304" s="105"/>
      <c r="F304" s="46">
        <f>74.4+745.2</f>
        <v>819.6</v>
      </c>
      <c r="G304" s="46"/>
      <c r="H304" s="46">
        <f>74.4+745.2</f>
        <v>819.6</v>
      </c>
      <c r="I304" s="47">
        <v>0</v>
      </c>
      <c r="J304" s="88"/>
      <c r="K304" s="47">
        <v>0</v>
      </c>
      <c r="L304" s="46">
        <f>74.4+745.2</f>
        <v>819.6</v>
      </c>
      <c r="M304" s="46"/>
      <c r="N304" s="46">
        <f>74.4+745.2</f>
        <v>819.6</v>
      </c>
      <c r="O304" s="94"/>
      <c r="P304" s="94"/>
    </row>
    <row r="305" spans="1:16" ht="15.75" x14ac:dyDescent="0.2">
      <c r="A305" s="49"/>
      <c r="B305" s="50" t="s">
        <v>366</v>
      </c>
      <c r="C305" s="51" t="s">
        <v>367</v>
      </c>
      <c r="D305" s="52" t="s">
        <v>26</v>
      </c>
      <c r="E305" s="106"/>
      <c r="F305" s="53">
        <f t="shared" ref="F305:N305" si="65">F306</f>
        <v>7170.8</v>
      </c>
      <c r="G305" s="53">
        <f t="shared" si="65"/>
        <v>-6960.3</v>
      </c>
      <c r="H305" s="53">
        <f t="shared" si="65"/>
        <v>210.5</v>
      </c>
      <c r="I305" s="54">
        <f t="shared" si="65"/>
        <v>0</v>
      </c>
      <c r="J305" s="53">
        <f t="shared" si="65"/>
        <v>0</v>
      </c>
      <c r="K305" s="54">
        <f t="shared" si="65"/>
        <v>0</v>
      </c>
      <c r="L305" s="53">
        <f t="shared" si="65"/>
        <v>7170.8</v>
      </c>
      <c r="M305" s="53">
        <f t="shared" si="65"/>
        <v>-6960.3</v>
      </c>
      <c r="N305" s="53">
        <f t="shared" si="65"/>
        <v>210.5</v>
      </c>
      <c r="O305" s="95"/>
      <c r="P305" s="95"/>
    </row>
    <row r="306" spans="1:16" ht="39" customHeight="1" x14ac:dyDescent="0.2">
      <c r="A306" s="42"/>
      <c r="B306" s="43" t="s">
        <v>368</v>
      </c>
      <c r="C306" s="44" t="s">
        <v>369</v>
      </c>
      <c r="D306" s="45" t="s">
        <v>26</v>
      </c>
      <c r="E306" s="105"/>
      <c r="F306" s="46">
        <f>F307+F309</f>
        <v>7170.8</v>
      </c>
      <c r="G306" s="46">
        <f>G307+G309</f>
        <v>-6960.3</v>
      </c>
      <c r="H306" s="46">
        <f>H307+H309</f>
        <v>210.5</v>
      </c>
      <c r="I306" s="47">
        <f>I307+I309</f>
        <v>0</v>
      </c>
      <c r="J306" s="88"/>
      <c r="K306" s="47">
        <f>K307+K309</f>
        <v>0</v>
      </c>
      <c r="L306" s="46">
        <f>L307+L309</f>
        <v>7170.8</v>
      </c>
      <c r="M306" s="46">
        <f>M307+M309</f>
        <v>-6960.3</v>
      </c>
      <c r="N306" s="46">
        <f>N307+N309</f>
        <v>210.5</v>
      </c>
      <c r="O306" s="94"/>
      <c r="P306" s="94"/>
    </row>
    <row r="307" spans="1:16" ht="15.75" x14ac:dyDescent="0.2">
      <c r="A307" s="42"/>
      <c r="B307" s="43" t="s">
        <v>370</v>
      </c>
      <c r="C307" s="44" t="s">
        <v>371</v>
      </c>
      <c r="D307" s="45" t="s">
        <v>26</v>
      </c>
      <c r="E307" s="105"/>
      <c r="F307" s="46">
        <f>F308</f>
        <v>6970.8</v>
      </c>
      <c r="G307" s="46">
        <f>G308</f>
        <v>-6960.3</v>
      </c>
      <c r="H307" s="46">
        <f>H308</f>
        <v>10.5</v>
      </c>
      <c r="I307" s="47">
        <f>I308</f>
        <v>0</v>
      </c>
      <c r="J307" s="88"/>
      <c r="K307" s="47">
        <f>K308</f>
        <v>0</v>
      </c>
      <c r="L307" s="46">
        <f>L308</f>
        <v>6970.8</v>
      </c>
      <c r="M307" s="46">
        <f>M308</f>
        <v>-6960.3</v>
      </c>
      <c r="N307" s="46">
        <f>N308</f>
        <v>10.5</v>
      </c>
      <c r="O307" s="94"/>
      <c r="P307" s="94"/>
    </row>
    <row r="308" spans="1:16" ht="22.15" customHeight="1" x14ac:dyDescent="0.2">
      <c r="A308" s="42"/>
      <c r="B308" s="43" t="s">
        <v>372</v>
      </c>
      <c r="C308" s="44" t="s">
        <v>371</v>
      </c>
      <c r="D308" s="45" t="s">
        <v>373</v>
      </c>
      <c r="E308" s="105"/>
      <c r="F308" s="56">
        <f>4650+2320.8</f>
        <v>6970.8</v>
      </c>
      <c r="G308" s="56">
        <f>-567-480-890-240-50-4733.3</f>
        <v>-6960.3</v>
      </c>
      <c r="H308" s="56">
        <f>4650+2320.8+G308</f>
        <v>10.5</v>
      </c>
      <c r="I308" s="47">
        <v>0</v>
      </c>
      <c r="J308" s="111"/>
      <c r="K308" s="47">
        <v>0</v>
      </c>
      <c r="L308" s="56">
        <f>4650+2320.8</f>
        <v>6970.8</v>
      </c>
      <c r="M308" s="56">
        <f>SUM(G308)</f>
        <v>-6960.3</v>
      </c>
      <c r="N308" s="56">
        <f>4650+2320.8+M308</f>
        <v>10.5</v>
      </c>
      <c r="O308" s="94"/>
      <c r="P308" s="94"/>
    </row>
    <row r="309" spans="1:16" ht="31.5" x14ac:dyDescent="0.2">
      <c r="A309" s="42"/>
      <c r="B309" s="43" t="s">
        <v>374</v>
      </c>
      <c r="C309" s="44" t="s">
        <v>375</v>
      </c>
      <c r="D309" s="45" t="s">
        <v>26</v>
      </c>
      <c r="E309" s="105"/>
      <c r="F309" s="46">
        <f>F310</f>
        <v>200</v>
      </c>
      <c r="G309" s="46">
        <f>G310</f>
        <v>0</v>
      </c>
      <c r="H309" s="46">
        <f>H310</f>
        <v>200</v>
      </c>
      <c r="I309" s="47">
        <f>I310</f>
        <v>0</v>
      </c>
      <c r="J309" s="88"/>
      <c r="K309" s="47">
        <f>K310</f>
        <v>0</v>
      </c>
      <c r="L309" s="46">
        <f>L310</f>
        <v>200</v>
      </c>
      <c r="M309" s="46">
        <f>M310</f>
        <v>0</v>
      </c>
      <c r="N309" s="46">
        <f>N310</f>
        <v>200</v>
      </c>
      <c r="O309" s="94"/>
      <c r="P309" s="94"/>
    </row>
    <row r="310" spans="1:16" ht="31.5" x14ac:dyDescent="0.2">
      <c r="A310" s="42"/>
      <c r="B310" s="43" t="s">
        <v>35</v>
      </c>
      <c r="C310" s="44" t="s">
        <v>375</v>
      </c>
      <c r="D310" s="45" t="s">
        <v>36</v>
      </c>
      <c r="E310" s="105"/>
      <c r="F310" s="46">
        <v>200</v>
      </c>
      <c r="G310" s="46"/>
      <c r="H310" s="46">
        <v>200</v>
      </c>
      <c r="I310" s="47">
        <v>0</v>
      </c>
      <c r="J310" s="88"/>
      <c r="K310" s="47">
        <v>0</v>
      </c>
      <c r="L310" s="46">
        <v>200</v>
      </c>
      <c r="M310" s="46"/>
      <c r="N310" s="46">
        <v>200</v>
      </c>
      <c r="O310" s="94"/>
      <c r="P310" s="94"/>
    </row>
    <row r="311" spans="1:16" ht="31.5" x14ac:dyDescent="0.2">
      <c r="A311" s="49"/>
      <c r="B311" s="50" t="s">
        <v>376</v>
      </c>
      <c r="C311" s="51" t="s">
        <v>377</v>
      </c>
      <c r="D311" s="52" t="s">
        <v>26</v>
      </c>
      <c r="E311" s="106"/>
      <c r="F311" s="53">
        <f t="shared" ref="F311:N311" si="66">F312+F316+F319</f>
        <v>15410</v>
      </c>
      <c r="G311" s="53">
        <f t="shared" si="66"/>
        <v>0</v>
      </c>
      <c r="H311" s="53">
        <f t="shared" si="66"/>
        <v>15410</v>
      </c>
      <c r="I311" s="54">
        <f t="shared" si="66"/>
        <v>0</v>
      </c>
      <c r="J311" s="53">
        <f t="shared" si="66"/>
        <v>0</v>
      </c>
      <c r="K311" s="54">
        <f t="shared" si="66"/>
        <v>0</v>
      </c>
      <c r="L311" s="53">
        <f t="shared" si="66"/>
        <v>15410</v>
      </c>
      <c r="M311" s="53">
        <f t="shared" si="66"/>
        <v>0</v>
      </c>
      <c r="N311" s="53">
        <f t="shared" si="66"/>
        <v>15410</v>
      </c>
      <c r="O311" s="95"/>
      <c r="P311" s="95"/>
    </row>
    <row r="312" spans="1:16" ht="37.9" customHeight="1" x14ac:dyDescent="0.2">
      <c r="A312" s="42"/>
      <c r="B312" s="43" t="s">
        <v>378</v>
      </c>
      <c r="C312" s="44" t="s">
        <v>379</v>
      </c>
      <c r="D312" s="45" t="s">
        <v>26</v>
      </c>
      <c r="E312" s="105"/>
      <c r="F312" s="46">
        <f>F313</f>
        <v>4150.8999999999996</v>
      </c>
      <c r="G312" s="46">
        <f>G313</f>
        <v>0</v>
      </c>
      <c r="H312" s="46">
        <f>H313</f>
        <v>4150.8999999999996</v>
      </c>
      <c r="I312" s="47">
        <f>I313</f>
        <v>0</v>
      </c>
      <c r="J312" s="88"/>
      <c r="K312" s="47">
        <f>K313</f>
        <v>0</v>
      </c>
      <c r="L312" s="46">
        <f>L313</f>
        <v>4150.8999999999996</v>
      </c>
      <c r="M312" s="46">
        <f>M313</f>
        <v>0</v>
      </c>
      <c r="N312" s="46">
        <f>N313</f>
        <v>4150.8999999999996</v>
      </c>
      <c r="O312" s="94"/>
      <c r="P312" s="94"/>
    </row>
    <row r="313" spans="1:16" ht="31.5" x14ac:dyDescent="0.2">
      <c r="A313" s="42"/>
      <c r="B313" s="43" t="s">
        <v>93</v>
      </c>
      <c r="C313" s="44" t="s">
        <v>380</v>
      </c>
      <c r="D313" s="45" t="s">
        <v>26</v>
      </c>
      <c r="E313" s="105"/>
      <c r="F313" s="46">
        <f>F314+F315</f>
        <v>4150.8999999999996</v>
      </c>
      <c r="G313" s="46">
        <f>G314+G315</f>
        <v>0</v>
      </c>
      <c r="H313" s="46">
        <f>H314+H315</f>
        <v>4150.8999999999996</v>
      </c>
      <c r="I313" s="47">
        <f>I314+I315</f>
        <v>0</v>
      </c>
      <c r="J313" s="88"/>
      <c r="K313" s="47">
        <f>K314+K315</f>
        <v>0</v>
      </c>
      <c r="L313" s="46">
        <f>L314+L315</f>
        <v>4150.8999999999996</v>
      </c>
      <c r="M313" s="46">
        <f>M314+M315</f>
        <v>0</v>
      </c>
      <c r="N313" s="46">
        <f>N314+N315</f>
        <v>4150.8999999999996</v>
      </c>
      <c r="O313" s="94"/>
      <c r="P313" s="94"/>
    </row>
    <row r="314" spans="1:16" ht="64.900000000000006" customHeight="1" x14ac:dyDescent="0.2">
      <c r="A314" s="42"/>
      <c r="B314" s="43" t="s">
        <v>31</v>
      </c>
      <c r="C314" s="44" t="s">
        <v>380</v>
      </c>
      <c r="D314" s="45" t="s">
        <v>32</v>
      </c>
      <c r="E314" s="105"/>
      <c r="F314" s="46">
        <v>4140.8999999999996</v>
      </c>
      <c r="G314" s="46"/>
      <c r="H314" s="46">
        <v>4140.8999999999996</v>
      </c>
      <c r="I314" s="47">
        <v>0</v>
      </c>
      <c r="J314" s="88"/>
      <c r="K314" s="47">
        <v>0</v>
      </c>
      <c r="L314" s="46">
        <v>4140.8999999999996</v>
      </c>
      <c r="M314" s="46"/>
      <c r="N314" s="46">
        <v>4140.8999999999996</v>
      </c>
      <c r="O314" s="94"/>
      <c r="P314" s="94"/>
    </row>
    <row r="315" spans="1:16" ht="31.5" x14ac:dyDescent="0.2">
      <c r="A315" s="42"/>
      <c r="B315" s="43" t="s">
        <v>35</v>
      </c>
      <c r="C315" s="44" t="s">
        <v>380</v>
      </c>
      <c r="D315" s="45" t="s">
        <v>36</v>
      </c>
      <c r="E315" s="105"/>
      <c r="F315" s="46">
        <v>10</v>
      </c>
      <c r="G315" s="46"/>
      <c r="H315" s="46">
        <v>10</v>
      </c>
      <c r="I315" s="47">
        <v>0</v>
      </c>
      <c r="J315" s="88"/>
      <c r="K315" s="47">
        <v>0</v>
      </c>
      <c r="L315" s="46">
        <v>10</v>
      </c>
      <c r="M315" s="46"/>
      <c r="N315" s="46">
        <v>10</v>
      </c>
      <c r="O315" s="94"/>
      <c r="P315" s="94"/>
    </row>
    <row r="316" spans="1:16" ht="47.25" x14ac:dyDescent="0.2">
      <c r="A316" s="42"/>
      <c r="B316" s="43" t="s">
        <v>381</v>
      </c>
      <c r="C316" s="44" t="s">
        <v>382</v>
      </c>
      <c r="D316" s="45" t="s">
        <v>26</v>
      </c>
      <c r="E316" s="105"/>
      <c r="F316" s="46">
        <f t="shared" ref="F316:N317" si="67">F317</f>
        <v>10344.1</v>
      </c>
      <c r="G316" s="46">
        <f t="shared" si="67"/>
        <v>0</v>
      </c>
      <c r="H316" s="46">
        <f t="shared" si="67"/>
        <v>10344.1</v>
      </c>
      <c r="I316" s="47">
        <f t="shared" si="67"/>
        <v>0</v>
      </c>
      <c r="J316" s="88"/>
      <c r="K316" s="47">
        <f t="shared" si="67"/>
        <v>0</v>
      </c>
      <c r="L316" s="46">
        <f t="shared" si="67"/>
        <v>10344.1</v>
      </c>
      <c r="M316" s="46">
        <f t="shared" si="67"/>
        <v>0</v>
      </c>
      <c r="N316" s="46">
        <f t="shared" si="67"/>
        <v>10344.1</v>
      </c>
      <c r="O316" s="94"/>
      <c r="P316" s="94"/>
    </row>
    <row r="317" spans="1:16" ht="31.5" x14ac:dyDescent="0.2">
      <c r="A317" s="42"/>
      <c r="B317" s="43" t="s">
        <v>39</v>
      </c>
      <c r="C317" s="44" t="s">
        <v>383</v>
      </c>
      <c r="D317" s="45" t="s">
        <v>26</v>
      </c>
      <c r="E317" s="105"/>
      <c r="F317" s="46">
        <f t="shared" si="67"/>
        <v>10344.1</v>
      </c>
      <c r="G317" s="46">
        <f t="shared" si="67"/>
        <v>0</v>
      </c>
      <c r="H317" s="46">
        <f t="shared" si="67"/>
        <v>10344.1</v>
      </c>
      <c r="I317" s="47">
        <f t="shared" si="67"/>
        <v>0</v>
      </c>
      <c r="J317" s="88"/>
      <c r="K317" s="47">
        <f t="shared" si="67"/>
        <v>0</v>
      </c>
      <c r="L317" s="46">
        <f t="shared" si="67"/>
        <v>10344.1</v>
      </c>
      <c r="M317" s="46">
        <f t="shared" si="67"/>
        <v>0</v>
      </c>
      <c r="N317" s="46">
        <f t="shared" si="67"/>
        <v>10344.1</v>
      </c>
      <c r="O317" s="94"/>
      <c r="P317" s="94"/>
    </row>
    <row r="318" spans="1:16" ht="31.5" x14ac:dyDescent="0.2">
      <c r="A318" s="42"/>
      <c r="B318" s="43" t="s">
        <v>74</v>
      </c>
      <c r="C318" s="44" t="s">
        <v>383</v>
      </c>
      <c r="D318" s="45" t="s">
        <v>75</v>
      </c>
      <c r="E318" s="105"/>
      <c r="F318" s="46">
        <v>10344.1</v>
      </c>
      <c r="G318" s="46"/>
      <c r="H318" s="46">
        <v>10344.1</v>
      </c>
      <c r="I318" s="47">
        <v>0</v>
      </c>
      <c r="J318" s="88"/>
      <c r="K318" s="47">
        <v>0</v>
      </c>
      <c r="L318" s="46">
        <v>10344.1</v>
      </c>
      <c r="M318" s="46"/>
      <c r="N318" s="46">
        <v>10344.1</v>
      </c>
      <c r="O318" s="94"/>
      <c r="P318" s="94"/>
    </row>
    <row r="319" spans="1:16" ht="36.6" customHeight="1" x14ac:dyDescent="0.2">
      <c r="A319" s="42"/>
      <c r="B319" s="43" t="s">
        <v>384</v>
      </c>
      <c r="C319" s="44" t="s">
        <v>385</v>
      </c>
      <c r="D319" s="45" t="s">
        <v>26</v>
      </c>
      <c r="E319" s="105"/>
      <c r="F319" s="46">
        <f>F320</f>
        <v>915</v>
      </c>
      <c r="G319" s="46">
        <f>G320</f>
        <v>0</v>
      </c>
      <c r="H319" s="46">
        <f>H320</f>
        <v>915</v>
      </c>
      <c r="I319" s="47">
        <f>I320</f>
        <v>0</v>
      </c>
      <c r="J319" s="88"/>
      <c r="K319" s="47">
        <f>K320</f>
        <v>0</v>
      </c>
      <c r="L319" s="46">
        <f>L320</f>
        <v>915</v>
      </c>
      <c r="M319" s="46">
        <f>M320</f>
        <v>0</v>
      </c>
      <c r="N319" s="46">
        <f>N320</f>
        <v>915</v>
      </c>
      <c r="O319" s="94"/>
      <c r="P319" s="94"/>
    </row>
    <row r="320" spans="1:16" ht="36" customHeight="1" x14ac:dyDescent="0.2">
      <c r="A320" s="42"/>
      <c r="B320" s="43" t="s">
        <v>386</v>
      </c>
      <c r="C320" s="44" t="s">
        <v>387</v>
      </c>
      <c r="D320" s="45" t="s">
        <v>26</v>
      </c>
      <c r="E320" s="105"/>
      <c r="F320" s="46">
        <f>F321+F322</f>
        <v>915</v>
      </c>
      <c r="G320" s="46">
        <f>G321+G322</f>
        <v>0</v>
      </c>
      <c r="H320" s="46">
        <f>H321+H322</f>
        <v>915</v>
      </c>
      <c r="I320" s="47">
        <f>I321+I322</f>
        <v>0</v>
      </c>
      <c r="J320" s="88"/>
      <c r="K320" s="47">
        <f>K321+K322</f>
        <v>0</v>
      </c>
      <c r="L320" s="46">
        <f>L321+L322</f>
        <v>915</v>
      </c>
      <c r="M320" s="46">
        <f>M321+M322</f>
        <v>0</v>
      </c>
      <c r="N320" s="46">
        <f>N321+N322</f>
        <v>915</v>
      </c>
      <c r="O320" s="94"/>
      <c r="P320" s="94"/>
    </row>
    <row r="321" spans="1:16" ht="31.5" x14ac:dyDescent="0.2">
      <c r="A321" s="42"/>
      <c r="B321" s="43" t="s">
        <v>35</v>
      </c>
      <c r="C321" s="44" t="s">
        <v>387</v>
      </c>
      <c r="D321" s="45" t="s">
        <v>36</v>
      </c>
      <c r="E321" s="105"/>
      <c r="F321" s="46">
        <v>900</v>
      </c>
      <c r="G321" s="46"/>
      <c r="H321" s="46">
        <v>900</v>
      </c>
      <c r="I321" s="47">
        <v>0</v>
      </c>
      <c r="J321" s="88"/>
      <c r="K321" s="47">
        <v>0</v>
      </c>
      <c r="L321" s="46">
        <v>900</v>
      </c>
      <c r="M321" s="46"/>
      <c r="N321" s="46">
        <v>900</v>
      </c>
      <c r="O321" s="94"/>
      <c r="P321" s="94"/>
    </row>
    <row r="322" spans="1:16" ht="15.75" x14ac:dyDescent="0.2">
      <c r="A322" s="42"/>
      <c r="B322" s="43" t="s">
        <v>41</v>
      </c>
      <c r="C322" s="44" t="s">
        <v>387</v>
      </c>
      <c r="D322" s="45" t="s">
        <v>42</v>
      </c>
      <c r="E322" s="105"/>
      <c r="F322" s="46">
        <v>15</v>
      </c>
      <c r="G322" s="46"/>
      <c r="H322" s="46">
        <v>15</v>
      </c>
      <c r="I322" s="47">
        <v>0</v>
      </c>
      <c r="J322" s="88"/>
      <c r="K322" s="47">
        <v>0</v>
      </c>
      <c r="L322" s="46">
        <v>15</v>
      </c>
      <c r="M322" s="46"/>
      <c r="N322" s="46">
        <v>15</v>
      </c>
      <c r="O322" s="94"/>
      <c r="P322" s="94"/>
    </row>
    <row r="323" spans="1:16" ht="15.75" x14ac:dyDescent="0.2">
      <c r="A323" s="19" t="s">
        <v>388</v>
      </c>
      <c r="B323" s="20" t="s">
        <v>389</v>
      </c>
      <c r="C323" s="21" t="s">
        <v>390</v>
      </c>
      <c r="D323" s="22" t="s">
        <v>26</v>
      </c>
      <c r="E323" s="104"/>
      <c r="F323" s="23">
        <f t="shared" ref="F323:N325" si="68">F324</f>
        <v>50</v>
      </c>
      <c r="G323" s="23">
        <f t="shared" si="68"/>
        <v>0</v>
      </c>
      <c r="H323" s="23">
        <f t="shared" si="68"/>
        <v>50</v>
      </c>
      <c r="I323" s="24">
        <f t="shared" si="68"/>
        <v>0</v>
      </c>
      <c r="J323" s="23">
        <f>J324</f>
        <v>0</v>
      </c>
      <c r="K323" s="24">
        <f t="shared" si="68"/>
        <v>0</v>
      </c>
      <c r="L323" s="23">
        <f t="shared" si="68"/>
        <v>50</v>
      </c>
      <c r="M323" s="23">
        <f t="shared" si="68"/>
        <v>0</v>
      </c>
      <c r="N323" s="23">
        <f t="shared" si="68"/>
        <v>50</v>
      </c>
      <c r="O323" s="93"/>
      <c r="P323" s="93"/>
    </row>
    <row r="324" spans="1:16" ht="51.6" customHeight="1" x14ac:dyDescent="0.2">
      <c r="A324" s="42"/>
      <c r="B324" s="43" t="s">
        <v>391</v>
      </c>
      <c r="C324" s="44" t="s">
        <v>392</v>
      </c>
      <c r="D324" s="45" t="s">
        <v>26</v>
      </c>
      <c r="E324" s="105"/>
      <c r="F324" s="46">
        <f t="shared" si="68"/>
        <v>50</v>
      </c>
      <c r="G324" s="46">
        <f t="shared" si="68"/>
        <v>0</v>
      </c>
      <c r="H324" s="46">
        <f t="shared" si="68"/>
        <v>50</v>
      </c>
      <c r="I324" s="47">
        <f t="shared" si="68"/>
        <v>0</v>
      </c>
      <c r="J324" s="88"/>
      <c r="K324" s="47">
        <f t="shared" si="68"/>
        <v>0</v>
      </c>
      <c r="L324" s="46">
        <f t="shared" si="68"/>
        <v>50</v>
      </c>
      <c r="M324" s="46">
        <f t="shared" si="68"/>
        <v>0</v>
      </c>
      <c r="N324" s="46">
        <f t="shared" si="68"/>
        <v>50</v>
      </c>
      <c r="O324" s="94"/>
      <c r="P324" s="94"/>
    </row>
    <row r="325" spans="1:16" ht="31.5" x14ac:dyDescent="0.2">
      <c r="A325" s="42"/>
      <c r="B325" s="43" t="s">
        <v>393</v>
      </c>
      <c r="C325" s="44" t="s">
        <v>394</v>
      </c>
      <c r="D325" s="45" t="s">
        <v>26</v>
      </c>
      <c r="E325" s="105"/>
      <c r="F325" s="46">
        <f t="shared" si="68"/>
        <v>50</v>
      </c>
      <c r="G325" s="46">
        <f t="shared" si="68"/>
        <v>0</v>
      </c>
      <c r="H325" s="46">
        <f t="shared" si="68"/>
        <v>50</v>
      </c>
      <c r="I325" s="47">
        <f t="shared" si="68"/>
        <v>0</v>
      </c>
      <c r="J325" s="88"/>
      <c r="K325" s="47">
        <f t="shared" si="68"/>
        <v>0</v>
      </c>
      <c r="L325" s="46">
        <f t="shared" si="68"/>
        <v>50</v>
      </c>
      <c r="M325" s="46">
        <f t="shared" si="68"/>
        <v>0</v>
      </c>
      <c r="N325" s="46">
        <f t="shared" si="68"/>
        <v>50</v>
      </c>
      <c r="O325" s="94"/>
      <c r="P325" s="94"/>
    </row>
    <row r="326" spans="1:16" ht="31.5" x14ac:dyDescent="0.2">
      <c r="A326" s="42"/>
      <c r="B326" s="43" t="s">
        <v>35</v>
      </c>
      <c r="C326" s="44" t="s">
        <v>394</v>
      </c>
      <c r="D326" s="45" t="s">
        <v>36</v>
      </c>
      <c r="E326" s="105"/>
      <c r="F326" s="46">
        <v>50</v>
      </c>
      <c r="G326" s="46"/>
      <c r="H326" s="46">
        <v>50</v>
      </c>
      <c r="I326" s="47">
        <v>0</v>
      </c>
      <c r="J326" s="88"/>
      <c r="K326" s="47">
        <v>0</v>
      </c>
      <c r="L326" s="46">
        <v>50</v>
      </c>
      <c r="M326" s="46"/>
      <c r="N326" s="46">
        <v>50</v>
      </c>
      <c r="O326" s="94"/>
      <c r="P326" s="94"/>
    </row>
    <row r="327" spans="1:16" ht="49.15" customHeight="1" x14ac:dyDescent="0.2">
      <c r="A327" s="19" t="s">
        <v>395</v>
      </c>
      <c r="B327" s="20" t="s">
        <v>396</v>
      </c>
      <c r="C327" s="21" t="s">
        <v>397</v>
      </c>
      <c r="D327" s="22" t="s">
        <v>26</v>
      </c>
      <c r="E327" s="104"/>
      <c r="F327" s="23">
        <f t="shared" ref="F327:N329" si="69">F328</f>
        <v>599.70000000000005</v>
      </c>
      <c r="G327" s="23">
        <f t="shared" si="69"/>
        <v>80</v>
      </c>
      <c r="H327" s="23">
        <f t="shared" si="69"/>
        <v>679.7</v>
      </c>
      <c r="I327" s="24">
        <f t="shared" si="69"/>
        <v>0</v>
      </c>
      <c r="J327" s="23">
        <f>J328</f>
        <v>0</v>
      </c>
      <c r="K327" s="24">
        <f t="shared" si="69"/>
        <v>0</v>
      </c>
      <c r="L327" s="23">
        <f t="shared" si="69"/>
        <v>599.70000000000005</v>
      </c>
      <c r="M327" s="23">
        <f t="shared" si="69"/>
        <v>80</v>
      </c>
      <c r="N327" s="23">
        <f t="shared" si="69"/>
        <v>679.7</v>
      </c>
      <c r="O327" s="93"/>
      <c r="P327" s="93"/>
    </row>
    <row r="328" spans="1:16" ht="30.6" customHeight="1" x14ac:dyDescent="0.2">
      <c r="A328" s="42"/>
      <c r="B328" s="43" t="s">
        <v>398</v>
      </c>
      <c r="C328" s="44" t="s">
        <v>399</v>
      </c>
      <c r="D328" s="45" t="s">
        <v>26</v>
      </c>
      <c r="E328" s="105"/>
      <c r="F328" s="46">
        <f>F329+F331</f>
        <v>599.70000000000005</v>
      </c>
      <c r="G328" s="46">
        <f>G329+G331</f>
        <v>80</v>
      </c>
      <c r="H328" s="46">
        <f>H329+H331</f>
        <v>679.7</v>
      </c>
      <c r="I328" s="47">
        <f t="shared" si="69"/>
        <v>0</v>
      </c>
      <c r="J328" s="88"/>
      <c r="K328" s="47">
        <f t="shared" si="69"/>
        <v>0</v>
      </c>
      <c r="L328" s="46">
        <f>SUM(F328)</f>
        <v>599.70000000000005</v>
      </c>
      <c r="M328" s="46">
        <f>SUM(G328)</f>
        <v>80</v>
      </c>
      <c r="N328" s="46">
        <f>N329+N331</f>
        <v>679.7</v>
      </c>
      <c r="O328" s="94"/>
      <c r="P328" s="94"/>
    </row>
    <row r="329" spans="1:16" ht="49.15" customHeight="1" x14ac:dyDescent="0.2">
      <c r="A329" s="42"/>
      <c r="B329" s="43" t="s">
        <v>400</v>
      </c>
      <c r="C329" s="44" t="s">
        <v>401</v>
      </c>
      <c r="D329" s="45" t="s">
        <v>26</v>
      </c>
      <c r="E329" s="105"/>
      <c r="F329" s="46">
        <f t="shared" si="69"/>
        <v>200</v>
      </c>
      <c r="G329" s="46">
        <f t="shared" si="69"/>
        <v>80</v>
      </c>
      <c r="H329" s="46">
        <f t="shared" si="69"/>
        <v>280</v>
      </c>
      <c r="I329" s="47">
        <f t="shared" si="69"/>
        <v>0</v>
      </c>
      <c r="J329" s="88"/>
      <c r="K329" s="47">
        <f t="shared" si="69"/>
        <v>0</v>
      </c>
      <c r="L329" s="46">
        <f t="shared" si="69"/>
        <v>200</v>
      </c>
      <c r="M329" s="46">
        <f t="shared" si="69"/>
        <v>80</v>
      </c>
      <c r="N329" s="46">
        <f t="shared" si="69"/>
        <v>280</v>
      </c>
      <c r="O329" s="94"/>
      <c r="P329" s="94"/>
    </row>
    <row r="330" spans="1:16" ht="31.5" x14ac:dyDescent="0.2">
      <c r="A330" s="57"/>
      <c r="B330" s="58" t="s">
        <v>35</v>
      </c>
      <c r="C330" s="59" t="s">
        <v>401</v>
      </c>
      <c r="D330" s="60" t="s">
        <v>36</v>
      </c>
      <c r="E330" s="108"/>
      <c r="F330" s="61">
        <v>200</v>
      </c>
      <c r="G330" s="61">
        <f>30+50</f>
        <v>80</v>
      </c>
      <c r="H330" s="61">
        <f>200+G330</f>
        <v>280</v>
      </c>
      <c r="I330" s="62">
        <v>0</v>
      </c>
      <c r="J330" s="115"/>
      <c r="K330" s="62">
        <v>0</v>
      </c>
      <c r="L330" s="61">
        <v>200</v>
      </c>
      <c r="M330" s="61">
        <f>SUM(G330)</f>
        <v>80</v>
      </c>
      <c r="N330" s="61">
        <f>200+M330</f>
        <v>280</v>
      </c>
      <c r="O330" s="94"/>
      <c r="P330" s="94"/>
    </row>
    <row r="331" spans="1:16" ht="31.5" x14ac:dyDescent="0.2">
      <c r="A331" s="133"/>
      <c r="B331" s="122" t="s">
        <v>402</v>
      </c>
      <c r="C331" s="44" t="s">
        <v>403</v>
      </c>
      <c r="D331" s="124"/>
      <c r="E331" s="124"/>
      <c r="F331" s="134">
        <v>399.7</v>
      </c>
      <c r="G331" s="134"/>
      <c r="H331" s="134">
        <f>SUM(F331)</f>
        <v>399.7</v>
      </c>
      <c r="I331" s="135"/>
      <c r="J331" s="135"/>
      <c r="K331" s="135"/>
      <c r="L331" s="134">
        <f>SUM(F331)</f>
        <v>399.7</v>
      </c>
      <c r="M331" s="134">
        <f>SUM(G331)</f>
        <v>0</v>
      </c>
      <c r="N331" s="134">
        <f>SUM(H331)</f>
        <v>399.7</v>
      </c>
      <c r="O331" s="94"/>
      <c r="P331" s="94"/>
    </row>
    <row r="332" spans="1:16" ht="32.25" thickBot="1" x14ac:dyDescent="0.25">
      <c r="A332" s="133"/>
      <c r="B332" s="58" t="s">
        <v>35</v>
      </c>
      <c r="C332" s="44" t="s">
        <v>403</v>
      </c>
      <c r="D332" s="124" t="s">
        <v>36</v>
      </c>
      <c r="E332" s="124"/>
      <c r="F332" s="134">
        <v>399.7</v>
      </c>
      <c r="G332" s="134"/>
      <c r="H332" s="134">
        <f>SUM(F332)</f>
        <v>399.7</v>
      </c>
      <c r="I332" s="135"/>
      <c r="J332" s="135"/>
      <c r="K332" s="135"/>
      <c r="L332" s="134">
        <f>SUM(F332)</f>
        <v>399.7</v>
      </c>
      <c r="M332" s="134">
        <f>SUM(G332)</f>
        <v>0</v>
      </c>
      <c r="N332" s="134">
        <f>SUM(H332)</f>
        <v>399.7</v>
      </c>
      <c r="O332" s="94"/>
      <c r="P332" s="94"/>
    </row>
    <row r="333" spans="1:16" ht="16.5" customHeight="1" thickBot="1" x14ac:dyDescent="0.25">
      <c r="A333" s="26" t="s">
        <v>404</v>
      </c>
      <c r="B333" s="461" t="s">
        <v>405</v>
      </c>
      <c r="C333" s="462"/>
      <c r="D333" s="463"/>
      <c r="E333" s="83"/>
      <c r="F333" s="27">
        <f>F334+F338+F344+F360+F364</f>
        <v>37915.800000000003</v>
      </c>
      <c r="G333" s="27">
        <f>G334+G338+G344+G360+G364</f>
        <v>2742.3</v>
      </c>
      <c r="H333" s="27">
        <f>H334+H338+H344+H360+H364</f>
        <v>40658.1</v>
      </c>
      <c r="I333" s="28">
        <f>I334+I338+I344+I360</f>
        <v>768.1</v>
      </c>
      <c r="J333" s="27">
        <f>J334+J338+J344+J360</f>
        <v>0</v>
      </c>
      <c r="K333" s="28">
        <f>K334+K338+K344+K360</f>
        <v>768.1</v>
      </c>
      <c r="L333" s="27">
        <f>L334+L338+L344+L360+L364</f>
        <v>38683.9</v>
      </c>
      <c r="M333" s="27">
        <f>M334+M338+M344+M360+M364</f>
        <v>2742.3</v>
      </c>
      <c r="N333" s="27">
        <f>N334+N338+N344+N360+N364</f>
        <v>41426.199999999997</v>
      </c>
      <c r="O333" s="93"/>
      <c r="P333" s="93"/>
    </row>
    <row r="334" spans="1:16" ht="31.5" x14ac:dyDescent="0.2">
      <c r="A334" s="16" t="s">
        <v>406</v>
      </c>
      <c r="B334" s="29" t="s">
        <v>407</v>
      </c>
      <c r="C334" s="30" t="s">
        <v>408</v>
      </c>
      <c r="D334" s="31" t="s">
        <v>26</v>
      </c>
      <c r="E334" s="109"/>
      <c r="F334" s="32">
        <f t="shared" ref="F334:N336" si="70">F335</f>
        <v>2021.3</v>
      </c>
      <c r="G334" s="32">
        <f t="shared" si="70"/>
        <v>0</v>
      </c>
      <c r="H334" s="32">
        <f t="shared" si="70"/>
        <v>2021.3</v>
      </c>
      <c r="I334" s="33">
        <f t="shared" si="70"/>
        <v>0</v>
      </c>
      <c r="J334" s="32">
        <f>J335</f>
        <v>0</v>
      </c>
      <c r="K334" s="33">
        <f t="shared" si="70"/>
        <v>0</v>
      </c>
      <c r="L334" s="32">
        <f t="shared" si="70"/>
        <v>2021.3</v>
      </c>
      <c r="M334" s="32">
        <f t="shared" si="70"/>
        <v>0</v>
      </c>
      <c r="N334" s="32">
        <f t="shared" si="70"/>
        <v>2021.3</v>
      </c>
      <c r="O334" s="98"/>
      <c r="P334" s="98"/>
    </row>
    <row r="335" spans="1:16" ht="22.15" customHeight="1" x14ac:dyDescent="0.2">
      <c r="A335" s="49"/>
      <c r="B335" s="50" t="s">
        <v>409</v>
      </c>
      <c r="C335" s="51" t="s">
        <v>410</v>
      </c>
      <c r="D335" s="52" t="s">
        <v>26</v>
      </c>
      <c r="E335" s="106"/>
      <c r="F335" s="63">
        <f t="shared" si="70"/>
        <v>2021.3</v>
      </c>
      <c r="G335" s="63">
        <f t="shared" si="70"/>
        <v>0</v>
      </c>
      <c r="H335" s="63">
        <f t="shared" si="70"/>
        <v>2021.3</v>
      </c>
      <c r="I335" s="64">
        <f t="shared" si="70"/>
        <v>0</v>
      </c>
      <c r="J335" s="63">
        <f>J336</f>
        <v>0</v>
      </c>
      <c r="K335" s="64">
        <f t="shared" si="70"/>
        <v>0</v>
      </c>
      <c r="L335" s="63">
        <f t="shared" si="70"/>
        <v>2021.3</v>
      </c>
      <c r="M335" s="63">
        <f t="shared" si="70"/>
        <v>0</v>
      </c>
      <c r="N335" s="63">
        <f t="shared" si="70"/>
        <v>2021.3</v>
      </c>
      <c r="O335" s="99"/>
      <c r="P335" s="99"/>
    </row>
    <row r="336" spans="1:16" ht="31.5" x14ac:dyDescent="0.2">
      <c r="A336" s="42"/>
      <c r="B336" s="43" t="s">
        <v>93</v>
      </c>
      <c r="C336" s="44" t="s">
        <v>411</v>
      </c>
      <c r="D336" s="45" t="s">
        <v>26</v>
      </c>
      <c r="E336" s="105"/>
      <c r="F336" s="65">
        <f t="shared" si="70"/>
        <v>2021.3</v>
      </c>
      <c r="G336" s="65">
        <f t="shared" si="70"/>
        <v>0</v>
      </c>
      <c r="H336" s="65">
        <f t="shared" si="70"/>
        <v>2021.3</v>
      </c>
      <c r="I336" s="66">
        <f t="shared" si="70"/>
        <v>0</v>
      </c>
      <c r="J336" s="89"/>
      <c r="K336" s="66">
        <f t="shared" si="70"/>
        <v>0</v>
      </c>
      <c r="L336" s="65">
        <f t="shared" si="70"/>
        <v>2021.3</v>
      </c>
      <c r="M336" s="65">
        <f t="shared" si="70"/>
        <v>0</v>
      </c>
      <c r="N336" s="65">
        <f t="shared" si="70"/>
        <v>2021.3</v>
      </c>
      <c r="O336" s="100"/>
      <c r="P336" s="100"/>
    </row>
    <row r="337" spans="1:16" ht="69" customHeight="1" x14ac:dyDescent="0.2">
      <c r="A337" s="42"/>
      <c r="B337" s="43" t="s">
        <v>31</v>
      </c>
      <c r="C337" s="44" t="s">
        <v>411</v>
      </c>
      <c r="D337" s="45" t="s">
        <v>32</v>
      </c>
      <c r="E337" s="105"/>
      <c r="F337" s="65">
        <v>2021.3</v>
      </c>
      <c r="G337" s="65"/>
      <c r="H337" s="65">
        <v>2021.3</v>
      </c>
      <c r="I337" s="66">
        <v>0</v>
      </c>
      <c r="J337" s="89"/>
      <c r="K337" s="66">
        <v>0</v>
      </c>
      <c r="L337" s="65">
        <v>2021.3</v>
      </c>
      <c r="M337" s="65"/>
      <c r="N337" s="65">
        <v>2021.3</v>
      </c>
      <c r="O337" s="100"/>
      <c r="P337" s="100"/>
    </row>
    <row r="338" spans="1:16" ht="31.5" x14ac:dyDescent="0.2">
      <c r="A338" s="19" t="s">
        <v>412</v>
      </c>
      <c r="B338" s="20" t="s">
        <v>413</v>
      </c>
      <c r="C338" s="21" t="s">
        <v>414</v>
      </c>
      <c r="D338" s="22" t="s">
        <v>26</v>
      </c>
      <c r="E338" s="104"/>
      <c r="F338" s="34">
        <f t="shared" ref="F338:N338" si="71">F339</f>
        <v>1395.6</v>
      </c>
      <c r="G338" s="34">
        <f t="shared" si="71"/>
        <v>0</v>
      </c>
      <c r="H338" s="34">
        <f t="shared" si="71"/>
        <v>1395.6</v>
      </c>
      <c r="I338" s="35">
        <f t="shared" si="71"/>
        <v>0</v>
      </c>
      <c r="J338" s="34">
        <f t="shared" si="71"/>
        <v>0</v>
      </c>
      <c r="K338" s="35">
        <f t="shared" si="71"/>
        <v>0</v>
      </c>
      <c r="L338" s="34">
        <f t="shared" si="71"/>
        <v>1395.6</v>
      </c>
      <c r="M338" s="34">
        <f t="shared" si="71"/>
        <v>0</v>
      </c>
      <c r="N338" s="34">
        <f t="shared" si="71"/>
        <v>1395.6</v>
      </c>
      <c r="O338" s="98"/>
      <c r="P338" s="98"/>
    </row>
    <row r="339" spans="1:16" ht="31.5" x14ac:dyDescent="0.2">
      <c r="A339" s="49"/>
      <c r="B339" s="50" t="s">
        <v>415</v>
      </c>
      <c r="C339" s="51" t="s">
        <v>416</v>
      </c>
      <c r="D339" s="52" t="s">
        <v>26</v>
      </c>
      <c r="E339" s="106"/>
      <c r="F339" s="63">
        <f t="shared" ref="F339:N339" si="72">F340+F342</f>
        <v>1395.6</v>
      </c>
      <c r="G339" s="63">
        <f t="shared" si="72"/>
        <v>0</v>
      </c>
      <c r="H339" s="63">
        <f t="shared" si="72"/>
        <v>1395.6</v>
      </c>
      <c r="I339" s="64">
        <f t="shared" si="72"/>
        <v>0</v>
      </c>
      <c r="J339" s="63">
        <f t="shared" si="72"/>
        <v>0</v>
      </c>
      <c r="K339" s="64">
        <f t="shared" si="72"/>
        <v>0</v>
      </c>
      <c r="L339" s="63">
        <f t="shared" si="72"/>
        <v>1395.6</v>
      </c>
      <c r="M339" s="63">
        <f t="shared" si="72"/>
        <v>0</v>
      </c>
      <c r="N339" s="63">
        <f t="shared" si="72"/>
        <v>1395.6</v>
      </c>
      <c r="O339" s="99"/>
      <c r="P339" s="99"/>
    </row>
    <row r="340" spans="1:16" ht="31.5" x14ac:dyDescent="0.2">
      <c r="A340" s="42"/>
      <c r="B340" s="43" t="s">
        <v>93</v>
      </c>
      <c r="C340" s="44" t="s">
        <v>417</v>
      </c>
      <c r="D340" s="45" t="s">
        <v>26</v>
      </c>
      <c r="E340" s="105"/>
      <c r="F340" s="65">
        <f>F341</f>
        <v>8.1</v>
      </c>
      <c r="G340" s="65">
        <f>G341</f>
        <v>0</v>
      </c>
      <c r="H340" s="65">
        <f>H341</f>
        <v>8.1</v>
      </c>
      <c r="I340" s="66">
        <f>I341</f>
        <v>0</v>
      </c>
      <c r="J340" s="89"/>
      <c r="K340" s="66">
        <f>K341</f>
        <v>0</v>
      </c>
      <c r="L340" s="65">
        <f>L341</f>
        <v>8.1</v>
      </c>
      <c r="M340" s="65">
        <f>M341</f>
        <v>0</v>
      </c>
      <c r="N340" s="65">
        <f>N341</f>
        <v>8.1</v>
      </c>
      <c r="O340" s="100"/>
      <c r="P340" s="100"/>
    </row>
    <row r="341" spans="1:16" ht="31.5" x14ac:dyDescent="0.2">
      <c r="A341" s="42"/>
      <c r="B341" s="43" t="s">
        <v>35</v>
      </c>
      <c r="C341" s="44" t="s">
        <v>417</v>
      </c>
      <c r="D341" s="45" t="s">
        <v>36</v>
      </c>
      <c r="E341" s="105"/>
      <c r="F341" s="79">
        <f>8+0.1</f>
        <v>8.1</v>
      </c>
      <c r="G341" s="79"/>
      <c r="H341" s="79">
        <f>8+0.1</f>
        <v>8.1</v>
      </c>
      <c r="I341" s="66">
        <v>0</v>
      </c>
      <c r="J341" s="117"/>
      <c r="K341" s="66">
        <v>0</v>
      </c>
      <c r="L341" s="79">
        <f>8+0.1</f>
        <v>8.1</v>
      </c>
      <c r="M341" s="79"/>
      <c r="N341" s="79">
        <f>8+0.1</f>
        <v>8.1</v>
      </c>
      <c r="O341" s="100"/>
      <c r="P341" s="100"/>
    </row>
    <row r="342" spans="1:16" ht="50.45" customHeight="1" x14ac:dyDescent="0.2">
      <c r="A342" s="42"/>
      <c r="B342" s="43" t="s">
        <v>418</v>
      </c>
      <c r="C342" s="44" t="s">
        <v>419</v>
      </c>
      <c r="D342" s="45" t="s">
        <v>26</v>
      </c>
      <c r="E342" s="105"/>
      <c r="F342" s="65">
        <f>F343</f>
        <v>1387.5</v>
      </c>
      <c r="G342" s="65">
        <f>G343</f>
        <v>0</v>
      </c>
      <c r="H342" s="65">
        <f>H343</f>
        <v>1387.5</v>
      </c>
      <c r="I342" s="66">
        <f>I343</f>
        <v>0</v>
      </c>
      <c r="J342" s="89"/>
      <c r="K342" s="66">
        <f>K343</f>
        <v>0</v>
      </c>
      <c r="L342" s="65">
        <f>L343</f>
        <v>1387.5</v>
      </c>
      <c r="M342" s="65">
        <f>M343</f>
        <v>0</v>
      </c>
      <c r="N342" s="65">
        <f>N343</f>
        <v>1387.5</v>
      </c>
      <c r="O342" s="100"/>
      <c r="P342" s="100"/>
    </row>
    <row r="343" spans="1:16" ht="15.75" x14ac:dyDescent="0.2">
      <c r="A343" s="42"/>
      <c r="B343" s="43" t="s">
        <v>278</v>
      </c>
      <c r="C343" s="44" t="s">
        <v>419</v>
      </c>
      <c r="D343" s="45" t="s">
        <v>279</v>
      </c>
      <c r="E343" s="105"/>
      <c r="F343" s="79">
        <f>1387.6-0.1</f>
        <v>1387.5</v>
      </c>
      <c r="G343" s="79"/>
      <c r="H343" s="79">
        <f>1387.6-0.1</f>
        <v>1387.5</v>
      </c>
      <c r="I343" s="66">
        <v>0</v>
      </c>
      <c r="J343" s="117"/>
      <c r="K343" s="66">
        <v>0</v>
      </c>
      <c r="L343" s="79">
        <f>1387.6-0.1</f>
        <v>1387.5</v>
      </c>
      <c r="M343" s="79"/>
      <c r="N343" s="79">
        <f>1387.6-0.1</f>
        <v>1387.5</v>
      </c>
      <c r="O343" s="100"/>
      <c r="P343" s="100"/>
    </row>
    <row r="344" spans="1:16" ht="31.5" x14ac:dyDescent="0.2">
      <c r="A344" s="19" t="s">
        <v>420</v>
      </c>
      <c r="B344" s="20" t="s">
        <v>421</v>
      </c>
      <c r="C344" s="21" t="s">
        <v>422</v>
      </c>
      <c r="D344" s="22" t="s">
        <v>26</v>
      </c>
      <c r="E344" s="104"/>
      <c r="F344" s="34">
        <f t="shared" ref="F344:N344" si="73">F345+F350+F356</f>
        <v>34453</v>
      </c>
      <c r="G344" s="34">
        <f t="shared" si="73"/>
        <v>2223.1</v>
      </c>
      <c r="H344" s="34">
        <f t="shared" si="73"/>
        <v>36676.1</v>
      </c>
      <c r="I344" s="35">
        <f t="shared" si="73"/>
        <v>768.1</v>
      </c>
      <c r="J344" s="34">
        <f t="shared" si="73"/>
        <v>0</v>
      </c>
      <c r="K344" s="35">
        <f t="shared" si="73"/>
        <v>768.1</v>
      </c>
      <c r="L344" s="34">
        <f t="shared" si="73"/>
        <v>35221.1</v>
      </c>
      <c r="M344" s="34">
        <f t="shared" si="73"/>
        <v>2223.1</v>
      </c>
      <c r="N344" s="34">
        <f t="shared" si="73"/>
        <v>37444.199999999997</v>
      </c>
      <c r="O344" s="98"/>
      <c r="P344" s="98"/>
    </row>
    <row r="345" spans="1:16" ht="31.5" x14ac:dyDescent="0.2">
      <c r="A345" s="49"/>
      <c r="B345" s="50" t="s">
        <v>423</v>
      </c>
      <c r="C345" s="51" t="s">
        <v>424</v>
      </c>
      <c r="D345" s="52" t="s">
        <v>26</v>
      </c>
      <c r="E345" s="106"/>
      <c r="F345" s="63">
        <f t="shared" ref="F345:N345" si="74">F346</f>
        <v>30614.5</v>
      </c>
      <c r="G345" s="63">
        <f t="shared" si="74"/>
        <v>368.6</v>
      </c>
      <c r="H345" s="63">
        <f t="shared" si="74"/>
        <v>30983.1</v>
      </c>
      <c r="I345" s="64">
        <f t="shared" si="74"/>
        <v>0</v>
      </c>
      <c r="J345" s="63">
        <f t="shared" si="74"/>
        <v>0</v>
      </c>
      <c r="K345" s="64">
        <f t="shared" si="74"/>
        <v>0</v>
      </c>
      <c r="L345" s="63">
        <f t="shared" si="74"/>
        <v>30614.5</v>
      </c>
      <c r="M345" s="63">
        <f t="shared" si="74"/>
        <v>368.6</v>
      </c>
      <c r="N345" s="63">
        <f t="shared" si="74"/>
        <v>30983.1</v>
      </c>
      <c r="O345" s="99"/>
      <c r="P345" s="99"/>
    </row>
    <row r="346" spans="1:16" ht="31.5" x14ac:dyDescent="0.2">
      <c r="A346" s="42"/>
      <c r="B346" s="43" t="s">
        <v>93</v>
      </c>
      <c r="C346" s="44" t="s">
        <v>425</v>
      </c>
      <c r="D346" s="45" t="s">
        <v>26</v>
      </c>
      <c r="E346" s="105"/>
      <c r="F346" s="65">
        <f>F347+F348+F349</f>
        <v>30614.5</v>
      </c>
      <c r="G346" s="65">
        <f>G347+G348+G349</f>
        <v>368.6</v>
      </c>
      <c r="H346" s="65">
        <f>H347+H348+H349</f>
        <v>30983.1</v>
      </c>
      <c r="I346" s="66">
        <f>I347+I348+I349</f>
        <v>0</v>
      </c>
      <c r="J346" s="89"/>
      <c r="K346" s="66">
        <f>K347+K348+K349</f>
        <v>0</v>
      </c>
      <c r="L346" s="65">
        <f>L347+L348+L349</f>
        <v>30614.5</v>
      </c>
      <c r="M346" s="65">
        <f>M347+M348+M349</f>
        <v>368.6</v>
      </c>
      <c r="N346" s="65">
        <f>N347+N348+N349</f>
        <v>30983.1</v>
      </c>
      <c r="O346" s="100"/>
      <c r="P346" s="100"/>
    </row>
    <row r="347" spans="1:16" ht="70.150000000000006" customHeight="1" x14ac:dyDescent="0.2">
      <c r="A347" s="42"/>
      <c r="B347" s="43" t="s">
        <v>31</v>
      </c>
      <c r="C347" s="44" t="s">
        <v>425</v>
      </c>
      <c r="D347" s="45" t="s">
        <v>32</v>
      </c>
      <c r="E347" s="105"/>
      <c r="F347" s="65">
        <v>30283.1</v>
      </c>
      <c r="G347" s="65">
        <v>368.6</v>
      </c>
      <c r="H347" s="65">
        <f>30283.1+G347</f>
        <v>30651.699999999997</v>
      </c>
      <c r="I347" s="66">
        <v>0</v>
      </c>
      <c r="J347" s="89"/>
      <c r="K347" s="66">
        <v>0</v>
      </c>
      <c r="L347" s="65">
        <v>30283.1</v>
      </c>
      <c r="M347" s="65">
        <f>SUM(G347)</f>
        <v>368.6</v>
      </c>
      <c r="N347" s="65">
        <f>SUM(M347)+L347</f>
        <v>30651.699999999997</v>
      </c>
      <c r="O347" s="100"/>
      <c r="P347" s="100"/>
    </row>
    <row r="348" spans="1:16" ht="31.5" x14ac:dyDescent="0.2">
      <c r="A348" s="42"/>
      <c r="B348" s="43" t="s">
        <v>35</v>
      </c>
      <c r="C348" s="44" t="s">
        <v>425</v>
      </c>
      <c r="D348" s="45" t="s">
        <v>36</v>
      </c>
      <c r="E348" s="105"/>
      <c r="F348" s="65">
        <v>291.39999999999998</v>
      </c>
      <c r="G348" s="65"/>
      <c r="H348" s="65">
        <v>291.39999999999998</v>
      </c>
      <c r="I348" s="66">
        <v>0</v>
      </c>
      <c r="J348" s="89"/>
      <c r="K348" s="66">
        <v>0</v>
      </c>
      <c r="L348" s="65">
        <v>291.39999999999998</v>
      </c>
      <c r="M348" s="65"/>
      <c r="N348" s="65">
        <v>291.39999999999998</v>
      </c>
      <c r="O348" s="100"/>
      <c r="P348" s="100"/>
    </row>
    <row r="349" spans="1:16" ht="15.75" x14ac:dyDescent="0.2">
      <c r="A349" s="42"/>
      <c r="B349" s="43" t="s">
        <v>41</v>
      </c>
      <c r="C349" s="44" t="s">
        <v>425</v>
      </c>
      <c r="D349" s="45" t="s">
        <v>42</v>
      </c>
      <c r="E349" s="105"/>
      <c r="F349" s="65">
        <v>40</v>
      </c>
      <c r="G349" s="65"/>
      <c r="H349" s="65">
        <v>40</v>
      </c>
      <c r="I349" s="66">
        <v>0</v>
      </c>
      <c r="J349" s="89"/>
      <c r="K349" s="66">
        <v>0</v>
      </c>
      <c r="L349" s="65">
        <v>40</v>
      </c>
      <c r="M349" s="65"/>
      <c r="N349" s="65">
        <v>40</v>
      </c>
      <c r="O349" s="100"/>
      <c r="P349" s="100"/>
    </row>
    <row r="350" spans="1:16" ht="21.6" customHeight="1" x14ac:dyDescent="0.2">
      <c r="A350" s="49"/>
      <c r="B350" s="43" t="s">
        <v>426</v>
      </c>
      <c r="C350" s="44" t="s">
        <v>427</v>
      </c>
      <c r="D350" s="45" t="s">
        <v>26</v>
      </c>
      <c r="E350" s="105"/>
      <c r="F350" s="65">
        <f>F354</f>
        <v>0</v>
      </c>
      <c r="G350" s="65">
        <f>G354</f>
        <v>0</v>
      </c>
      <c r="H350" s="65">
        <f>H354</f>
        <v>0</v>
      </c>
      <c r="I350" s="66">
        <f>I354+I351</f>
        <v>768.1</v>
      </c>
      <c r="J350" s="89"/>
      <c r="K350" s="66">
        <f>K354+K351</f>
        <v>768.1</v>
      </c>
      <c r="L350" s="66">
        <f>L354+L351</f>
        <v>768.1</v>
      </c>
      <c r="M350" s="65">
        <f>M354</f>
        <v>0</v>
      </c>
      <c r="N350" s="66">
        <f>N354+N351</f>
        <v>768.1</v>
      </c>
      <c r="O350" s="100"/>
      <c r="P350" s="100"/>
    </row>
    <row r="351" spans="1:16" ht="125.45" customHeight="1" x14ac:dyDescent="0.2">
      <c r="A351" s="49"/>
      <c r="B351" s="127" t="s">
        <v>428</v>
      </c>
      <c r="C351" s="44" t="s">
        <v>429</v>
      </c>
      <c r="D351" s="45"/>
      <c r="E351" s="105"/>
      <c r="F351" s="65"/>
      <c r="G351" s="65"/>
      <c r="H351" s="65"/>
      <c r="I351" s="66">
        <f>SUM(I352+I353)</f>
        <v>755.7</v>
      </c>
      <c r="J351" s="89"/>
      <c r="K351" s="66">
        <f>SUM(K352+K353)</f>
        <v>755.7</v>
      </c>
      <c r="L351" s="66">
        <f>SUM(L352+L353)</f>
        <v>755.7</v>
      </c>
      <c r="M351" s="65"/>
      <c r="N351" s="66">
        <f>SUM(N352+N353)</f>
        <v>755.7</v>
      </c>
      <c r="O351" s="100"/>
      <c r="P351" s="100"/>
    </row>
    <row r="352" spans="1:16" ht="66" customHeight="1" x14ac:dyDescent="0.2">
      <c r="A352" s="49"/>
      <c r="B352" s="43" t="s">
        <v>31</v>
      </c>
      <c r="C352" s="44" t="s">
        <v>429</v>
      </c>
      <c r="D352" s="45" t="s">
        <v>32</v>
      </c>
      <c r="E352" s="105"/>
      <c r="F352" s="65"/>
      <c r="G352" s="65"/>
      <c r="H352" s="65"/>
      <c r="I352" s="66">
        <v>674.7</v>
      </c>
      <c r="J352" s="89"/>
      <c r="K352" s="66">
        <v>674.7</v>
      </c>
      <c r="L352" s="66">
        <v>674.7</v>
      </c>
      <c r="M352" s="65"/>
      <c r="N352" s="66">
        <v>674.7</v>
      </c>
      <c r="O352" s="100"/>
      <c r="P352" s="100"/>
    </row>
    <row r="353" spans="1:16" ht="23.45" customHeight="1" x14ac:dyDescent="0.2">
      <c r="A353" s="49"/>
      <c r="B353" s="43" t="s">
        <v>35</v>
      </c>
      <c r="C353" s="44" t="s">
        <v>429</v>
      </c>
      <c r="D353" s="45" t="s">
        <v>36</v>
      </c>
      <c r="E353" s="105"/>
      <c r="F353" s="65"/>
      <c r="G353" s="65"/>
      <c r="H353" s="65"/>
      <c r="I353" s="66">
        <v>81</v>
      </c>
      <c r="J353" s="89"/>
      <c r="K353" s="66">
        <v>81</v>
      </c>
      <c r="L353" s="66">
        <v>81</v>
      </c>
      <c r="M353" s="65"/>
      <c r="N353" s="66">
        <v>81</v>
      </c>
      <c r="O353" s="100"/>
      <c r="P353" s="100"/>
    </row>
    <row r="354" spans="1:16" ht="47.25" x14ac:dyDescent="0.2">
      <c r="A354" s="42"/>
      <c r="B354" s="43" t="s">
        <v>430</v>
      </c>
      <c r="C354" s="44" t="s">
        <v>431</v>
      </c>
      <c r="D354" s="45" t="s">
        <v>26</v>
      </c>
      <c r="E354" s="105"/>
      <c r="F354" s="65">
        <f t="shared" ref="F354:N354" si="75">F355</f>
        <v>0</v>
      </c>
      <c r="G354" s="65">
        <f t="shared" si="75"/>
        <v>0</v>
      </c>
      <c r="H354" s="65">
        <f t="shared" si="75"/>
        <v>0</v>
      </c>
      <c r="I354" s="66">
        <f t="shared" si="75"/>
        <v>12.4</v>
      </c>
      <c r="J354" s="89"/>
      <c r="K354" s="66">
        <f t="shared" si="75"/>
        <v>12.4</v>
      </c>
      <c r="L354" s="65">
        <f t="shared" si="75"/>
        <v>12.4</v>
      </c>
      <c r="M354" s="65">
        <f t="shared" si="75"/>
        <v>0</v>
      </c>
      <c r="N354" s="65">
        <f t="shared" si="75"/>
        <v>12.4</v>
      </c>
      <c r="O354" s="100"/>
      <c r="P354" s="100"/>
    </row>
    <row r="355" spans="1:16" ht="31.5" x14ac:dyDescent="0.2">
      <c r="A355" s="42"/>
      <c r="B355" s="43" t="s">
        <v>35</v>
      </c>
      <c r="C355" s="44" t="s">
        <v>431</v>
      </c>
      <c r="D355" s="45" t="s">
        <v>36</v>
      </c>
      <c r="E355" s="105"/>
      <c r="F355" s="65">
        <v>0</v>
      </c>
      <c r="G355" s="65">
        <v>0</v>
      </c>
      <c r="H355" s="65">
        <v>0</v>
      </c>
      <c r="I355" s="66">
        <v>12.4</v>
      </c>
      <c r="J355" s="89"/>
      <c r="K355" s="66">
        <v>12.4</v>
      </c>
      <c r="L355" s="65">
        <v>12.4</v>
      </c>
      <c r="M355" s="65">
        <v>0</v>
      </c>
      <c r="N355" s="65">
        <v>12.4</v>
      </c>
      <c r="O355" s="100"/>
      <c r="P355" s="100"/>
    </row>
    <row r="356" spans="1:16" ht="15.75" x14ac:dyDescent="0.2">
      <c r="A356" s="49"/>
      <c r="B356" s="50" t="s">
        <v>432</v>
      </c>
      <c r="C356" s="51" t="s">
        <v>433</v>
      </c>
      <c r="D356" s="52" t="s">
        <v>26</v>
      </c>
      <c r="E356" s="106"/>
      <c r="F356" s="63">
        <f t="shared" ref="F356:N356" si="76">F357</f>
        <v>3838.5</v>
      </c>
      <c r="G356" s="63">
        <f t="shared" si="76"/>
        <v>1854.5</v>
      </c>
      <c r="H356" s="63">
        <f t="shared" si="76"/>
        <v>5693</v>
      </c>
      <c r="I356" s="64">
        <f t="shared" si="76"/>
        <v>0</v>
      </c>
      <c r="J356" s="63">
        <f t="shared" si="76"/>
        <v>0</v>
      </c>
      <c r="K356" s="64">
        <f t="shared" si="76"/>
        <v>0</v>
      </c>
      <c r="L356" s="63">
        <f t="shared" si="76"/>
        <v>3838.5</v>
      </c>
      <c r="M356" s="63">
        <f t="shared" si="76"/>
        <v>1854.5</v>
      </c>
      <c r="N356" s="63">
        <f t="shared" si="76"/>
        <v>5693</v>
      </c>
      <c r="O356" s="99"/>
      <c r="P356" s="99"/>
    </row>
    <row r="357" spans="1:16" ht="31.5" x14ac:dyDescent="0.2">
      <c r="A357" s="42"/>
      <c r="B357" s="43" t="s">
        <v>434</v>
      </c>
      <c r="C357" s="44" t="s">
        <v>435</v>
      </c>
      <c r="D357" s="45" t="s">
        <v>26</v>
      </c>
      <c r="E357" s="105"/>
      <c r="F357" s="65">
        <f>F359+F358</f>
        <v>3838.5</v>
      </c>
      <c r="G357" s="65">
        <f>SUM(G359)+G358</f>
        <v>1854.5</v>
      </c>
      <c r="H357" s="65">
        <f>H359+H358</f>
        <v>5693</v>
      </c>
      <c r="I357" s="66">
        <f>I359</f>
        <v>0</v>
      </c>
      <c r="J357" s="89"/>
      <c r="K357" s="66">
        <f>K359</f>
        <v>0</v>
      </c>
      <c r="L357" s="65">
        <f>SUM(F357)</f>
        <v>3838.5</v>
      </c>
      <c r="M357" s="65">
        <f>SUM(M359)+M358</f>
        <v>1854.5</v>
      </c>
      <c r="N357" s="65">
        <f>SUM(H357)</f>
        <v>5693</v>
      </c>
      <c r="O357" s="100"/>
      <c r="P357" s="100"/>
    </row>
    <row r="358" spans="1:16" ht="31.5" x14ac:dyDescent="0.2">
      <c r="A358" s="42"/>
      <c r="B358" s="43" t="s">
        <v>35</v>
      </c>
      <c r="C358" s="44" t="s">
        <v>435</v>
      </c>
      <c r="D358" s="45" t="s">
        <v>36</v>
      </c>
      <c r="E358" s="105"/>
      <c r="F358" s="65">
        <v>2838.5</v>
      </c>
      <c r="G358" s="65">
        <f>763.3+619.3-619.3</f>
        <v>763.3</v>
      </c>
      <c r="H358" s="65">
        <f>SUM(F358)+G358</f>
        <v>3601.8</v>
      </c>
      <c r="I358" s="66"/>
      <c r="J358" s="89"/>
      <c r="K358" s="66"/>
      <c r="L358" s="65">
        <f>SUM(F358)</f>
        <v>2838.5</v>
      </c>
      <c r="M358" s="65">
        <f>SUM(G358)</f>
        <v>763.3</v>
      </c>
      <c r="N358" s="65">
        <f>SUM(H358)</f>
        <v>3601.8</v>
      </c>
      <c r="O358" s="100"/>
      <c r="P358" s="100"/>
    </row>
    <row r="359" spans="1:16" ht="15.75" x14ac:dyDescent="0.2">
      <c r="A359" s="42"/>
      <c r="B359" s="43" t="s">
        <v>41</v>
      </c>
      <c r="C359" s="44" t="s">
        <v>435</v>
      </c>
      <c r="D359" s="45" t="s">
        <v>42</v>
      </c>
      <c r="E359" s="105"/>
      <c r="F359" s="65">
        <v>1000</v>
      </c>
      <c r="G359" s="65">
        <f>3063.8-1719.9+619.3-538.9-266.7-66.4</f>
        <v>1091.2</v>
      </c>
      <c r="H359" s="65">
        <f>1000+G359</f>
        <v>2091.1999999999998</v>
      </c>
      <c r="I359" s="66">
        <v>0</v>
      </c>
      <c r="J359" s="89"/>
      <c r="K359" s="66">
        <v>0</v>
      </c>
      <c r="L359" s="65">
        <v>1000</v>
      </c>
      <c r="M359" s="65">
        <f>SUM(G359)</f>
        <v>1091.2</v>
      </c>
      <c r="N359" s="65">
        <f>1000+M359</f>
        <v>2091.1999999999998</v>
      </c>
      <c r="O359" s="100"/>
      <c r="P359" s="100"/>
    </row>
    <row r="360" spans="1:16" ht="31.5" hidden="1" x14ac:dyDescent="0.2">
      <c r="A360" s="19" t="s">
        <v>436</v>
      </c>
      <c r="B360" s="20" t="s">
        <v>437</v>
      </c>
      <c r="C360" s="21" t="s">
        <v>438</v>
      </c>
      <c r="D360" s="22" t="s">
        <v>26</v>
      </c>
      <c r="E360" s="104"/>
      <c r="F360" s="34">
        <f>F361</f>
        <v>0</v>
      </c>
      <c r="G360" s="116"/>
      <c r="H360" s="116"/>
      <c r="I360" s="35">
        <f>I361</f>
        <v>0</v>
      </c>
      <c r="J360" s="36"/>
      <c r="K360" s="36"/>
      <c r="L360" s="36"/>
      <c r="M360" s="36"/>
      <c r="N360" s="36">
        <f>N361</f>
        <v>0</v>
      </c>
      <c r="O360" s="98"/>
      <c r="P360" s="98"/>
    </row>
    <row r="361" spans="1:16" ht="31.5" hidden="1" x14ac:dyDescent="0.2">
      <c r="A361" s="42"/>
      <c r="B361" s="43" t="s">
        <v>439</v>
      </c>
      <c r="C361" s="44" t="s">
        <v>440</v>
      </c>
      <c r="D361" s="45" t="s">
        <v>26</v>
      </c>
      <c r="E361" s="105"/>
      <c r="F361" s="65">
        <f>F362</f>
        <v>0</v>
      </c>
      <c r="G361" s="89"/>
      <c r="H361" s="89"/>
      <c r="I361" s="66">
        <f>I362</f>
        <v>0</v>
      </c>
      <c r="J361" s="67"/>
      <c r="K361" s="67"/>
      <c r="L361" s="67"/>
      <c r="M361" s="67"/>
      <c r="N361" s="67">
        <f>N362</f>
        <v>0</v>
      </c>
      <c r="O361" s="100"/>
      <c r="P361" s="100"/>
    </row>
    <row r="362" spans="1:16" ht="31.5" hidden="1" x14ac:dyDescent="0.2">
      <c r="A362" s="42"/>
      <c r="B362" s="43" t="s">
        <v>441</v>
      </c>
      <c r="C362" s="44" t="s">
        <v>442</v>
      </c>
      <c r="D362" s="45" t="s">
        <v>26</v>
      </c>
      <c r="E362" s="105"/>
      <c r="F362" s="65"/>
      <c r="G362" s="89"/>
      <c r="H362" s="89"/>
      <c r="I362" s="66">
        <f>I368</f>
        <v>0</v>
      </c>
      <c r="J362" s="89"/>
      <c r="K362" s="89"/>
      <c r="L362" s="89"/>
      <c r="M362" s="89"/>
      <c r="N362" s="65"/>
      <c r="O362" s="100"/>
      <c r="P362" s="100"/>
    </row>
    <row r="363" spans="1:16" ht="16.5" hidden="1" thickBot="1" x14ac:dyDescent="0.25">
      <c r="A363" s="57"/>
      <c r="B363" s="68" t="s">
        <v>41</v>
      </c>
      <c r="C363" s="69" t="s">
        <v>442</v>
      </c>
      <c r="D363" s="45" t="s">
        <v>42</v>
      </c>
      <c r="E363" s="105"/>
      <c r="F363" s="65"/>
      <c r="G363" s="89"/>
      <c r="H363" s="89"/>
      <c r="I363" s="66">
        <v>0</v>
      </c>
      <c r="J363" s="89"/>
      <c r="K363" s="89"/>
      <c r="L363" s="89"/>
      <c r="M363" s="89"/>
      <c r="N363" s="65"/>
      <c r="O363" s="100"/>
      <c r="P363" s="100"/>
    </row>
    <row r="364" spans="1:16" ht="31.5" x14ac:dyDescent="0.2">
      <c r="A364" s="57"/>
      <c r="B364" s="122" t="s">
        <v>439</v>
      </c>
      <c r="C364" s="124" t="s">
        <v>440</v>
      </c>
      <c r="D364" s="124"/>
      <c r="E364" s="124"/>
      <c r="F364" s="66">
        <v>45.9</v>
      </c>
      <c r="G364" s="66">
        <f>SUM(G366)</f>
        <v>519.20000000000005</v>
      </c>
      <c r="H364" s="66">
        <f>SUM(F364)+G364</f>
        <v>565.1</v>
      </c>
      <c r="I364" s="66"/>
      <c r="J364" s="66"/>
      <c r="K364" s="66"/>
      <c r="L364" s="66">
        <f>SUM(F364)</f>
        <v>45.9</v>
      </c>
      <c r="M364" s="66">
        <f t="shared" ref="M364:N366" si="77">SUM(G364)</f>
        <v>519.20000000000005</v>
      </c>
      <c r="N364" s="66">
        <f t="shared" si="77"/>
        <v>565.1</v>
      </c>
      <c r="O364" s="100"/>
      <c r="P364" s="100"/>
    </row>
    <row r="365" spans="1:16" ht="31.5" x14ac:dyDescent="0.2">
      <c r="A365" s="57"/>
      <c r="B365" s="122" t="s">
        <v>441</v>
      </c>
      <c r="C365" s="125" t="s">
        <v>442</v>
      </c>
      <c r="D365" s="124"/>
      <c r="E365" s="124"/>
      <c r="F365" s="66">
        <v>45.9</v>
      </c>
      <c r="G365" s="66">
        <f>SUM(G366)</f>
        <v>519.20000000000005</v>
      </c>
      <c r="H365" s="66">
        <f>SUM(F365)+G365</f>
        <v>565.1</v>
      </c>
      <c r="I365" s="66"/>
      <c r="J365" s="66"/>
      <c r="K365" s="66"/>
      <c r="L365" s="66">
        <f>SUM(F365)</f>
        <v>45.9</v>
      </c>
      <c r="M365" s="66">
        <f t="shared" si="77"/>
        <v>519.20000000000005</v>
      </c>
      <c r="N365" s="66">
        <f t="shared" si="77"/>
        <v>565.1</v>
      </c>
      <c r="O365" s="100"/>
      <c r="P365" s="100"/>
    </row>
    <row r="366" spans="1:16" ht="15.75" x14ac:dyDescent="0.2">
      <c r="A366" s="57"/>
      <c r="B366" s="43" t="s">
        <v>41</v>
      </c>
      <c r="C366" s="125" t="s">
        <v>442</v>
      </c>
      <c r="D366" s="124" t="s">
        <v>42</v>
      </c>
      <c r="E366" s="124"/>
      <c r="F366" s="66">
        <v>45.9</v>
      </c>
      <c r="G366" s="66">
        <f>55+224.2+240</f>
        <v>519.20000000000005</v>
      </c>
      <c r="H366" s="66">
        <f>SUM(F366)+G366</f>
        <v>565.1</v>
      </c>
      <c r="I366" s="66"/>
      <c r="J366" s="66"/>
      <c r="K366" s="66"/>
      <c r="L366" s="66">
        <f>SUM(F366)</f>
        <v>45.9</v>
      </c>
      <c r="M366" s="66">
        <f t="shared" si="77"/>
        <v>519.20000000000005</v>
      </c>
      <c r="N366" s="66">
        <f t="shared" si="77"/>
        <v>565.1</v>
      </c>
      <c r="O366" s="100"/>
      <c r="P366" s="100"/>
    </row>
    <row r="367" spans="1:16" ht="34.15" customHeight="1" x14ac:dyDescent="0.2">
      <c r="A367" s="57"/>
      <c r="B367" s="464" t="s">
        <v>443</v>
      </c>
      <c r="C367" s="465"/>
      <c r="D367" s="465"/>
      <c r="E367" s="465"/>
      <c r="F367" s="465"/>
      <c r="G367" s="465"/>
      <c r="H367" s="465"/>
      <c r="I367" s="465"/>
      <c r="J367" s="465"/>
      <c r="K367" s="465"/>
      <c r="L367" s="465"/>
      <c r="M367" s="465"/>
      <c r="N367" s="465"/>
      <c r="O367" s="86"/>
      <c r="P367" s="86"/>
    </row>
    <row r="368" spans="1:16" ht="16.5" customHeight="1" thickBot="1" x14ac:dyDescent="0.25">
      <c r="A368" s="70"/>
      <c r="B368" s="466"/>
      <c r="C368" s="467"/>
      <c r="D368" s="467"/>
      <c r="E368" s="467"/>
      <c r="F368" s="467"/>
      <c r="G368" s="467"/>
      <c r="H368" s="467"/>
      <c r="I368" s="467"/>
      <c r="J368" s="467"/>
      <c r="K368" s="467"/>
      <c r="L368" s="467"/>
      <c r="M368" s="467"/>
      <c r="N368" s="467"/>
      <c r="O368" s="86"/>
      <c r="P368" s="86"/>
    </row>
  </sheetData>
  <mergeCells count="18">
    <mergeCell ref="I6:N6"/>
    <mergeCell ref="I1:N1"/>
    <mergeCell ref="I2:N2"/>
    <mergeCell ref="I3:N3"/>
    <mergeCell ref="I4:N4"/>
    <mergeCell ref="I5:N5"/>
    <mergeCell ref="A8:N8"/>
    <mergeCell ref="A9:N9"/>
    <mergeCell ref="A10:N10"/>
    <mergeCell ref="A13:A14"/>
    <mergeCell ref="B13:B14"/>
    <mergeCell ref="C13:D13"/>
    <mergeCell ref="F13:N13"/>
    <mergeCell ref="C15:D15"/>
    <mergeCell ref="F15:N15"/>
    <mergeCell ref="B17:D17"/>
    <mergeCell ref="B333:D333"/>
    <mergeCell ref="B367:N368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03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49"/>
  <sheetViews>
    <sheetView view="pageBreakPreview" topLeftCell="A248" zoomScale="70" zoomScaleNormal="70" zoomScaleSheetLayoutView="70" workbookViewId="0">
      <selection activeCell="G226" sqref="G226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8" width="18.28515625" customWidth="1"/>
    <col min="9" max="13" width="18" customWidth="1"/>
    <col min="14" max="16" width="26.5703125" customWidth="1"/>
    <col min="17" max="17" width="18.8554687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80"/>
      <c r="P1" s="80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80"/>
      <c r="P2" s="80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80"/>
      <c r="P3" s="80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80"/>
      <c r="P4" s="80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444</v>
      </c>
      <c r="J5" s="440"/>
      <c r="K5" s="440"/>
      <c r="L5" s="440"/>
      <c r="M5" s="440"/>
      <c r="N5" s="440"/>
      <c r="O5" s="80"/>
      <c r="P5" s="80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80"/>
      <c r="P6" s="80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84"/>
      <c r="P8" s="84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84"/>
      <c r="P9" s="84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85"/>
      <c r="P10" s="85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10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0" t="s">
        <v>15</v>
      </c>
      <c r="J14" s="110" t="s">
        <v>13</v>
      </c>
      <c r="K14" s="110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81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38" t="s">
        <v>20</v>
      </c>
      <c r="C16" s="38"/>
      <c r="D16" s="39"/>
      <c r="E16" s="103"/>
      <c r="F16" s="40">
        <f t="shared" ref="F16:N16" si="0">F17+F314</f>
        <v>529501.19999999995</v>
      </c>
      <c r="G16" s="40">
        <f t="shared" si="0"/>
        <v>82772</v>
      </c>
      <c r="H16" s="40">
        <f t="shared" si="0"/>
        <v>612273.19999999995</v>
      </c>
      <c r="I16" s="41">
        <f t="shared" si="0"/>
        <v>2398493.8000000003</v>
      </c>
      <c r="J16" s="40">
        <f t="shared" si="0"/>
        <v>96098.5</v>
      </c>
      <c r="K16" s="41">
        <f t="shared" si="0"/>
        <v>2494592.3000000003</v>
      </c>
      <c r="L16" s="41">
        <f t="shared" si="0"/>
        <v>2927995</v>
      </c>
      <c r="M16" s="40">
        <f t="shared" si="0"/>
        <v>178870.5</v>
      </c>
      <c r="N16" s="41">
        <f t="shared" si="0"/>
        <v>3106865.5000000005</v>
      </c>
      <c r="O16" s="130"/>
      <c r="P16" s="92"/>
    </row>
    <row r="17" spans="1:17" ht="32.450000000000003" customHeight="1" x14ac:dyDescent="0.2">
      <c r="A17" s="16" t="s">
        <v>21</v>
      </c>
      <c r="B17" s="459" t="s">
        <v>22</v>
      </c>
      <c r="C17" s="460"/>
      <c r="D17" s="460"/>
      <c r="E17" s="82"/>
      <c r="F17" s="17">
        <f t="shared" ref="F17:N17" si="1">F18+F33+F38+F73+F85+F118+F170+F193+F202+F240+F257+F272+F304+F308</f>
        <v>494469.79999999993</v>
      </c>
      <c r="G17" s="17">
        <f t="shared" si="1"/>
        <v>79887.600000000006</v>
      </c>
      <c r="H17" s="17">
        <f t="shared" si="1"/>
        <v>574357.39999999991</v>
      </c>
      <c r="I17" s="18">
        <f t="shared" si="1"/>
        <v>2397725.7000000002</v>
      </c>
      <c r="J17" s="17">
        <f t="shared" si="1"/>
        <v>96098.5</v>
      </c>
      <c r="K17" s="18">
        <f t="shared" si="1"/>
        <v>2493824.2000000002</v>
      </c>
      <c r="L17" s="17">
        <f t="shared" si="1"/>
        <v>2892195.5</v>
      </c>
      <c r="M17" s="17">
        <f t="shared" si="1"/>
        <v>175986.1</v>
      </c>
      <c r="N17" s="17">
        <f t="shared" si="1"/>
        <v>3068181.6000000006</v>
      </c>
      <c r="O17" s="93"/>
      <c r="P17" s="93"/>
    </row>
    <row r="18" spans="1:17" ht="22.15" customHeight="1" x14ac:dyDescent="0.2">
      <c r="A18" s="19" t="s">
        <v>23</v>
      </c>
      <c r="B18" s="20" t="s">
        <v>24</v>
      </c>
      <c r="C18" s="21" t="s">
        <v>25</v>
      </c>
      <c r="D18" s="22" t="s">
        <v>26</v>
      </c>
      <c r="E18" s="104"/>
      <c r="F18" s="23">
        <f t="shared" ref="F18:N18" si="2">F19+F24</f>
        <v>13627.000000000002</v>
      </c>
      <c r="G18" s="23">
        <f t="shared" si="2"/>
        <v>205.1</v>
      </c>
      <c r="H18" s="23">
        <f t="shared" si="2"/>
        <v>13832.1</v>
      </c>
      <c r="I18" s="24">
        <f t="shared" si="2"/>
        <v>0</v>
      </c>
      <c r="J18" s="23">
        <f>J19+J24</f>
        <v>156</v>
      </c>
      <c r="K18" s="24">
        <f t="shared" si="2"/>
        <v>156</v>
      </c>
      <c r="L18" s="23">
        <f t="shared" si="2"/>
        <v>13627.000000000002</v>
      </c>
      <c r="M18" s="23">
        <f t="shared" si="2"/>
        <v>361.1</v>
      </c>
      <c r="N18" s="23">
        <f t="shared" si="2"/>
        <v>13988.1</v>
      </c>
      <c r="O18" s="93"/>
      <c r="P18" s="93"/>
      <c r="Q18" s="25"/>
    </row>
    <row r="19" spans="1:17" ht="47.25" x14ac:dyDescent="0.2">
      <c r="A19" s="42"/>
      <c r="B19" s="43" t="s">
        <v>27</v>
      </c>
      <c r="C19" s="44" t="s">
        <v>28</v>
      </c>
      <c r="D19" s="45" t="s">
        <v>26</v>
      </c>
      <c r="E19" s="105"/>
      <c r="F19" s="46">
        <f>F20+F22</f>
        <v>2346.5</v>
      </c>
      <c r="G19" s="46">
        <f>G20+G22</f>
        <v>0</v>
      </c>
      <c r="H19" s="46">
        <f>H20+H22</f>
        <v>2346.5</v>
      </c>
      <c r="I19" s="47">
        <f>I20+I22</f>
        <v>0</v>
      </c>
      <c r="J19" s="88"/>
      <c r="K19" s="47">
        <f>K20+K22</f>
        <v>0</v>
      </c>
      <c r="L19" s="46">
        <f>L20+L22</f>
        <v>2346.5</v>
      </c>
      <c r="M19" s="46">
        <f>M20+M22</f>
        <v>0</v>
      </c>
      <c r="N19" s="46">
        <f>N20+N22</f>
        <v>2346.5</v>
      </c>
      <c r="O19" s="94"/>
      <c r="P19" s="94"/>
      <c r="Q19" s="48"/>
    </row>
    <row r="20" spans="1:17" ht="47.25" x14ac:dyDescent="0.2">
      <c r="A20" s="42"/>
      <c r="B20" s="43" t="s">
        <v>29</v>
      </c>
      <c r="C20" s="44" t="s">
        <v>30</v>
      </c>
      <c r="D20" s="45" t="s">
        <v>26</v>
      </c>
      <c r="E20" s="105"/>
      <c r="F20" s="46">
        <f>F21</f>
        <v>1500</v>
      </c>
      <c r="G20" s="46">
        <f>G21</f>
        <v>0</v>
      </c>
      <c r="H20" s="46">
        <f>H21</f>
        <v>1500</v>
      </c>
      <c r="I20" s="47">
        <f>I21</f>
        <v>0</v>
      </c>
      <c r="J20" s="88"/>
      <c r="K20" s="47">
        <f>K21</f>
        <v>0</v>
      </c>
      <c r="L20" s="46">
        <f>L21</f>
        <v>1500</v>
      </c>
      <c r="M20" s="46">
        <f>M21</f>
        <v>0</v>
      </c>
      <c r="N20" s="46">
        <f>N21</f>
        <v>1500</v>
      </c>
      <c r="O20" s="94"/>
      <c r="P20" s="94"/>
    </row>
    <row r="21" spans="1:17" ht="67.900000000000006" customHeight="1" x14ac:dyDescent="0.2">
      <c r="A21" s="42"/>
      <c r="B21" s="43" t="s">
        <v>31</v>
      </c>
      <c r="C21" s="44" t="s">
        <v>30</v>
      </c>
      <c r="D21" s="45" t="s">
        <v>32</v>
      </c>
      <c r="E21" s="105"/>
      <c r="F21" s="46">
        <v>1500</v>
      </c>
      <c r="G21" s="46"/>
      <c r="H21" s="46">
        <v>1500</v>
      </c>
      <c r="I21" s="47">
        <v>0</v>
      </c>
      <c r="J21" s="88"/>
      <c r="K21" s="47">
        <v>0</v>
      </c>
      <c r="L21" s="46">
        <v>1500</v>
      </c>
      <c r="M21" s="46"/>
      <c r="N21" s="46">
        <v>1500</v>
      </c>
      <c r="O21" s="94"/>
      <c r="P21" s="94"/>
    </row>
    <row r="22" spans="1:17" ht="36" customHeight="1" x14ac:dyDescent="0.2">
      <c r="A22" s="42"/>
      <c r="B22" s="43" t="s">
        <v>33</v>
      </c>
      <c r="C22" s="44" t="s">
        <v>34</v>
      </c>
      <c r="D22" s="45" t="s">
        <v>26</v>
      </c>
      <c r="E22" s="105"/>
      <c r="F22" s="46">
        <f>F23</f>
        <v>846.5</v>
      </c>
      <c r="G22" s="46">
        <f>G23</f>
        <v>0</v>
      </c>
      <c r="H22" s="46">
        <f>H23</f>
        <v>846.5</v>
      </c>
      <c r="I22" s="47">
        <f>I23</f>
        <v>0</v>
      </c>
      <c r="J22" s="88"/>
      <c r="K22" s="47">
        <f>K23</f>
        <v>0</v>
      </c>
      <c r="L22" s="46">
        <f>L23</f>
        <v>846.5</v>
      </c>
      <c r="M22" s="46">
        <f>M23</f>
        <v>0</v>
      </c>
      <c r="N22" s="46">
        <f>N23</f>
        <v>846.5</v>
      </c>
      <c r="O22" s="94"/>
      <c r="P22" s="94"/>
    </row>
    <row r="23" spans="1:17" ht="31.5" x14ac:dyDescent="0.2">
      <c r="A23" s="42"/>
      <c r="B23" s="43" t="s">
        <v>35</v>
      </c>
      <c r="C23" s="44" t="s">
        <v>34</v>
      </c>
      <c r="D23" s="45" t="s">
        <v>36</v>
      </c>
      <c r="E23" s="105"/>
      <c r="F23" s="46">
        <v>846.5</v>
      </c>
      <c r="G23" s="46"/>
      <c r="H23" s="46">
        <v>846.5</v>
      </c>
      <c r="I23" s="47">
        <v>0</v>
      </c>
      <c r="J23" s="88"/>
      <c r="K23" s="47">
        <v>0</v>
      </c>
      <c r="L23" s="46">
        <v>846.5</v>
      </c>
      <c r="M23" s="46"/>
      <c r="N23" s="46">
        <v>846.5</v>
      </c>
      <c r="O23" s="94"/>
      <c r="P23" s="94"/>
    </row>
    <row r="24" spans="1:17" ht="47.25" x14ac:dyDescent="0.2">
      <c r="A24" s="42"/>
      <c r="B24" s="43" t="s">
        <v>37</v>
      </c>
      <c r="C24" s="44" t="s">
        <v>38</v>
      </c>
      <c r="D24" s="45" t="s">
        <v>26</v>
      </c>
      <c r="E24" s="105"/>
      <c r="F24" s="46">
        <f>F25+F29</f>
        <v>11280.500000000002</v>
      </c>
      <c r="G24" s="46">
        <f>G25+G29</f>
        <v>205.1</v>
      </c>
      <c r="H24" s="46">
        <f>H25+H29</f>
        <v>11485.6</v>
      </c>
      <c r="I24" s="47">
        <f>I25+I29</f>
        <v>0</v>
      </c>
      <c r="J24" s="88">
        <f>SUM(J31)</f>
        <v>156</v>
      </c>
      <c r="K24" s="47">
        <f>SUM(J24)</f>
        <v>156</v>
      </c>
      <c r="L24" s="46">
        <f>L25+L29</f>
        <v>11280.500000000002</v>
      </c>
      <c r="M24" s="46">
        <f>M25+M29+J24</f>
        <v>361.1</v>
      </c>
      <c r="N24" s="46">
        <f>N25+N29+N31</f>
        <v>11641.6</v>
      </c>
      <c r="O24" s="94"/>
      <c r="P24" s="94"/>
    </row>
    <row r="25" spans="1:17" ht="31.5" x14ac:dyDescent="0.2">
      <c r="A25" s="42"/>
      <c r="B25" s="43" t="s">
        <v>39</v>
      </c>
      <c r="C25" s="44" t="s">
        <v>40</v>
      </c>
      <c r="D25" s="45" t="s">
        <v>26</v>
      </c>
      <c r="E25" s="105"/>
      <c r="F25" s="46">
        <f>F26+F27+F28</f>
        <v>10559.400000000001</v>
      </c>
      <c r="G25" s="46">
        <f>G26+G27+G28</f>
        <v>41.099999999999994</v>
      </c>
      <c r="H25" s="46">
        <f>H26+H27+H28</f>
        <v>10600.5</v>
      </c>
      <c r="I25" s="47">
        <f>I26+I27+I28</f>
        <v>0</v>
      </c>
      <c r="J25" s="88">
        <f>SUM(I26)+J27</f>
        <v>0</v>
      </c>
      <c r="K25" s="47">
        <f>K26+K27+K28</f>
        <v>0</v>
      </c>
      <c r="L25" s="46">
        <f>L26+L27+L28</f>
        <v>10559.400000000001</v>
      </c>
      <c r="M25" s="46">
        <f>M26+M27+M28</f>
        <v>41.099999999999994</v>
      </c>
      <c r="N25" s="46">
        <f>N26+N27+N28</f>
        <v>10600.5</v>
      </c>
      <c r="O25" s="94"/>
      <c r="P25" s="94"/>
    </row>
    <row r="26" spans="1:17" ht="67.900000000000006" customHeight="1" x14ac:dyDescent="0.2">
      <c r="A26" s="42"/>
      <c r="B26" s="43" t="s">
        <v>31</v>
      </c>
      <c r="C26" s="44" t="s">
        <v>40</v>
      </c>
      <c r="D26" s="45" t="s">
        <v>32</v>
      </c>
      <c r="E26" s="105"/>
      <c r="F26" s="46">
        <v>7992.2</v>
      </c>
      <c r="G26" s="46">
        <v>26</v>
      </c>
      <c r="H26" s="46">
        <f>7992.2+G26</f>
        <v>8018.2</v>
      </c>
      <c r="I26" s="47">
        <v>0</v>
      </c>
      <c r="J26" s="88"/>
      <c r="K26" s="47">
        <v>0</v>
      </c>
      <c r="L26" s="46">
        <v>7992.2</v>
      </c>
      <c r="M26" s="46">
        <f>SUM(G26)</f>
        <v>26</v>
      </c>
      <c r="N26" s="46">
        <f>7992.2+M26</f>
        <v>8018.2</v>
      </c>
      <c r="O26" s="94"/>
      <c r="P26" s="94"/>
    </row>
    <row r="27" spans="1:17" ht="31.5" x14ac:dyDescent="0.2">
      <c r="A27" s="42"/>
      <c r="B27" s="43" t="s">
        <v>35</v>
      </c>
      <c r="C27" s="44" t="s">
        <v>40</v>
      </c>
      <c r="D27" s="45" t="s">
        <v>36</v>
      </c>
      <c r="E27" s="105"/>
      <c r="F27" s="46">
        <v>2563.5</v>
      </c>
      <c r="G27" s="46">
        <f>164+15.1-164</f>
        <v>15.099999999999994</v>
      </c>
      <c r="H27" s="46">
        <f>2563.5+G27</f>
        <v>2578.6</v>
      </c>
      <c r="I27" s="47">
        <v>0</v>
      </c>
      <c r="J27" s="88"/>
      <c r="K27" s="47">
        <f>SUM(J27)</f>
        <v>0</v>
      </c>
      <c r="L27" s="46">
        <v>2563.5</v>
      </c>
      <c r="M27" s="46">
        <f>SUM(G27+J27)</f>
        <v>15.099999999999994</v>
      </c>
      <c r="N27" s="46">
        <f>2563.5+M27</f>
        <v>2578.6</v>
      </c>
      <c r="O27" s="94"/>
      <c r="P27" s="94"/>
    </row>
    <row r="28" spans="1:17" ht="15.75" x14ac:dyDescent="0.2">
      <c r="A28" s="42"/>
      <c r="B28" s="43" t="s">
        <v>41</v>
      </c>
      <c r="C28" s="44" t="s">
        <v>40</v>
      </c>
      <c r="D28" s="45" t="s">
        <v>42</v>
      </c>
      <c r="E28" s="105"/>
      <c r="F28" s="46">
        <v>3.7</v>
      </c>
      <c r="G28" s="46"/>
      <c r="H28" s="46">
        <v>3.7</v>
      </c>
      <c r="I28" s="47">
        <v>0</v>
      </c>
      <c r="J28" s="88"/>
      <c r="K28" s="47">
        <v>0</v>
      </c>
      <c r="L28" s="46">
        <v>3.7</v>
      </c>
      <c r="M28" s="46"/>
      <c r="N28" s="46">
        <v>3.7</v>
      </c>
      <c r="O28" s="94"/>
      <c r="P28" s="94"/>
    </row>
    <row r="29" spans="1:17" ht="31.5" x14ac:dyDescent="0.2">
      <c r="A29" s="42"/>
      <c r="B29" s="43" t="s">
        <v>43</v>
      </c>
      <c r="C29" s="44" t="s">
        <v>44</v>
      </c>
      <c r="D29" s="45" t="s">
        <v>26</v>
      </c>
      <c r="E29" s="105"/>
      <c r="F29" s="46">
        <f>F30</f>
        <v>721.1</v>
      </c>
      <c r="G29" s="46">
        <f>G30</f>
        <v>164</v>
      </c>
      <c r="H29" s="46">
        <f>H30</f>
        <v>885.1</v>
      </c>
      <c r="I29" s="47">
        <f>I30</f>
        <v>0</v>
      </c>
      <c r="J29" s="88"/>
      <c r="K29" s="47">
        <f>K30</f>
        <v>0</v>
      </c>
      <c r="L29" s="46">
        <f>L30</f>
        <v>721.1</v>
      </c>
      <c r="M29" s="46">
        <f>M30</f>
        <v>164</v>
      </c>
      <c r="N29" s="46">
        <f>N30</f>
        <v>885.1</v>
      </c>
      <c r="O29" s="94"/>
      <c r="P29" s="94"/>
    </row>
    <row r="30" spans="1:17" ht="31.5" x14ac:dyDescent="0.2">
      <c r="A30" s="42"/>
      <c r="B30" s="43" t="s">
        <v>35</v>
      </c>
      <c r="C30" s="44" t="s">
        <v>44</v>
      </c>
      <c r="D30" s="45" t="s">
        <v>36</v>
      </c>
      <c r="E30" s="105"/>
      <c r="F30" s="46">
        <v>721.1</v>
      </c>
      <c r="G30" s="46">
        <v>164</v>
      </c>
      <c r="H30" s="46">
        <f>721.1+G30</f>
        <v>885.1</v>
      </c>
      <c r="I30" s="47">
        <v>0</v>
      </c>
      <c r="J30" s="88"/>
      <c r="K30" s="47">
        <v>0</v>
      </c>
      <c r="L30" s="46">
        <v>721.1</v>
      </c>
      <c r="M30" s="46">
        <f>SUM(G30)</f>
        <v>164</v>
      </c>
      <c r="N30" s="46">
        <f>721.1+M30</f>
        <v>885.1</v>
      </c>
      <c r="O30" s="94"/>
      <c r="P30" s="94"/>
    </row>
    <row r="31" spans="1:17" ht="63" x14ac:dyDescent="0.2">
      <c r="A31" s="42"/>
      <c r="B31" s="129" t="s">
        <v>45</v>
      </c>
      <c r="C31" s="44" t="s">
        <v>46</v>
      </c>
      <c r="D31" s="45"/>
      <c r="E31" s="105"/>
      <c r="F31" s="46"/>
      <c r="G31" s="46"/>
      <c r="H31" s="46"/>
      <c r="I31" s="47"/>
      <c r="J31" s="88">
        <f>SUM(J32)</f>
        <v>156</v>
      </c>
      <c r="K31" s="47">
        <f>SUM(J31)</f>
        <v>156</v>
      </c>
      <c r="L31" s="46"/>
      <c r="M31" s="46">
        <f>SUM(J31)</f>
        <v>156</v>
      </c>
      <c r="N31" s="46">
        <f>SUM(K31)</f>
        <v>156</v>
      </c>
      <c r="O31" s="94"/>
      <c r="P31" s="94"/>
    </row>
    <row r="32" spans="1:17" ht="31.5" x14ac:dyDescent="0.2">
      <c r="A32" s="42"/>
      <c r="B32" s="43" t="s">
        <v>35</v>
      </c>
      <c r="C32" s="44" t="s">
        <v>46</v>
      </c>
      <c r="D32" s="45" t="s">
        <v>36</v>
      </c>
      <c r="E32" s="105"/>
      <c r="F32" s="46"/>
      <c r="G32" s="46"/>
      <c r="H32" s="46"/>
      <c r="I32" s="47"/>
      <c r="J32" s="88">
        <v>156</v>
      </c>
      <c r="K32" s="47">
        <f>SUM(J32)</f>
        <v>156</v>
      </c>
      <c r="L32" s="46"/>
      <c r="M32" s="46">
        <f>SUM(J32)</f>
        <v>156</v>
      </c>
      <c r="N32" s="46">
        <f>SUM(M32)</f>
        <v>156</v>
      </c>
      <c r="O32" s="94"/>
      <c r="P32" s="94"/>
    </row>
    <row r="33" spans="1:17" ht="31.5" x14ac:dyDescent="0.2">
      <c r="A33" s="19" t="s">
        <v>47</v>
      </c>
      <c r="B33" s="20" t="s">
        <v>48</v>
      </c>
      <c r="C33" s="21" t="s">
        <v>49</v>
      </c>
      <c r="D33" s="22" t="s">
        <v>26</v>
      </c>
      <c r="E33" s="104"/>
      <c r="F33" s="23">
        <f t="shared" ref="F33:N34" si="3">F34</f>
        <v>1813.8</v>
      </c>
      <c r="G33" s="23">
        <f t="shared" si="3"/>
        <v>0</v>
      </c>
      <c r="H33" s="23">
        <f t="shared" si="3"/>
        <v>1813.8</v>
      </c>
      <c r="I33" s="24">
        <f t="shared" si="3"/>
        <v>0</v>
      </c>
      <c r="J33" s="23">
        <f t="shared" si="3"/>
        <v>0</v>
      </c>
      <c r="K33" s="24">
        <f t="shared" si="3"/>
        <v>0</v>
      </c>
      <c r="L33" s="23">
        <f t="shared" si="3"/>
        <v>1813.8</v>
      </c>
      <c r="M33" s="23">
        <f t="shared" si="3"/>
        <v>0</v>
      </c>
      <c r="N33" s="23">
        <f t="shared" si="3"/>
        <v>1813.8</v>
      </c>
      <c r="O33" s="93"/>
      <c r="P33" s="93"/>
    </row>
    <row r="34" spans="1:17" ht="50.45" customHeight="1" x14ac:dyDescent="0.2">
      <c r="A34" s="42"/>
      <c r="B34" s="43" t="s">
        <v>50</v>
      </c>
      <c r="C34" s="44" t="s">
        <v>51</v>
      </c>
      <c r="D34" s="45" t="s">
        <v>26</v>
      </c>
      <c r="E34" s="105"/>
      <c r="F34" s="46">
        <f t="shared" si="3"/>
        <v>1813.8</v>
      </c>
      <c r="G34" s="46">
        <f t="shared" si="3"/>
        <v>0</v>
      </c>
      <c r="H34" s="46">
        <f t="shared" si="3"/>
        <v>1813.8</v>
      </c>
      <c r="I34" s="47">
        <f t="shared" si="3"/>
        <v>0</v>
      </c>
      <c r="J34" s="88"/>
      <c r="K34" s="47">
        <f t="shared" si="3"/>
        <v>0</v>
      </c>
      <c r="L34" s="46">
        <f t="shared" si="3"/>
        <v>1813.8</v>
      </c>
      <c r="M34" s="46">
        <f t="shared" si="3"/>
        <v>0</v>
      </c>
      <c r="N34" s="46">
        <f t="shared" si="3"/>
        <v>1813.8</v>
      </c>
      <c r="O34" s="94"/>
      <c r="P34" s="94"/>
    </row>
    <row r="35" spans="1:17" ht="36.6" customHeight="1" x14ac:dyDescent="0.2">
      <c r="A35" s="42"/>
      <c r="B35" s="43" t="s">
        <v>52</v>
      </c>
      <c r="C35" s="44" t="s">
        <v>53</v>
      </c>
      <c r="D35" s="45" t="s">
        <v>26</v>
      </c>
      <c r="E35" s="105"/>
      <c r="F35" s="46">
        <f>F36+F37</f>
        <v>1813.8</v>
      </c>
      <c r="G35" s="46">
        <f>G36+G37</f>
        <v>0</v>
      </c>
      <c r="H35" s="46">
        <f>H36+H37</f>
        <v>1813.8</v>
      </c>
      <c r="I35" s="47">
        <f>I36+I37</f>
        <v>0</v>
      </c>
      <c r="J35" s="88"/>
      <c r="K35" s="47">
        <f>K36+K37</f>
        <v>0</v>
      </c>
      <c r="L35" s="46">
        <f>L36+L37</f>
        <v>1813.8</v>
      </c>
      <c r="M35" s="46">
        <f>M36+M37</f>
        <v>0</v>
      </c>
      <c r="N35" s="46">
        <f>N36+N37</f>
        <v>1813.8</v>
      </c>
      <c r="O35" s="94"/>
      <c r="P35" s="94"/>
    </row>
    <row r="36" spans="1:17" ht="31.5" x14ac:dyDescent="0.2">
      <c r="A36" s="42"/>
      <c r="B36" s="43" t="s">
        <v>35</v>
      </c>
      <c r="C36" s="44" t="s">
        <v>53</v>
      </c>
      <c r="D36" s="45" t="s">
        <v>36</v>
      </c>
      <c r="E36" s="105"/>
      <c r="F36" s="46">
        <v>300</v>
      </c>
      <c r="G36" s="46"/>
      <c r="H36" s="46">
        <v>300</v>
      </c>
      <c r="I36" s="47"/>
      <c r="J36" s="88"/>
      <c r="K36" s="47"/>
      <c r="L36" s="46">
        <v>300</v>
      </c>
      <c r="M36" s="46"/>
      <c r="N36" s="46">
        <v>300</v>
      </c>
      <c r="O36" s="94"/>
      <c r="P36" s="94"/>
    </row>
    <row r="37" spans="1:17" ht="15.75" x14ac:dyDescent="0.2">
      <c r="A37" s="42"/>
      <c r="B37" s="43" t="s">
        <v>54</v>
      </c>
      <c r="C37" s="44" t="s">
        <v>53</v>
      </c>
      <c r="D37" s="45" t="s">
        <v>55</v>
      </c>
      <c r="E37" s="105"/>
      <c r="F37" s="46">
        <v>1513.8</v>
      </c>
      <c r="G37" s="46"/>
      <c r="H37" s="46">
        <v>1513.8</v>
      </c>
      <c r="I37" s="47"/>
      <c r="J37" s="88"/>
      <c r="K37" s="47"/>
      <c r="L37" s="46">
        <v>1513.8</v>
      </c>
      <c r="M37" s="46"/>
      <c r="N37" s="46">
        <v>1513.8</v>
      </c>
      <c r="O37" s="94"/>
      <c r="P37" s="94"/>
    </row>
    <row r="38" spans="1:17" ht="31.5" x14ac:dyDescent="0.2">
      <c r="A38" s="19" t="s">
        <v>56</v>
      </c>
      <c r="B38" s="20" t="s">
        <v>57</v>
      </c>
      <c r="C38" s="21" t="s">
        <v>58</v>
      </c>
      <c r="D38" s="22" t="s">
        <v>26</v>
      </c>
      <c r="E38" s="104"/>
      <c r="F38" s="23">
        <f t="shared" ref="F38:N38" si="4">F39+F47+F68</f>
        <v>133559.29999999999</v>
      </c>
      <c r="G38" s="23">
        <f>G39+G47+G68+G54</f>
        <v>4614.6000000000004</v>
      </c>
      <c r="H38" s="23">
        <f>H39+H47+H68+H54</f>
        <v>138173.89999999997</v>
      </c>
      <c r="I38" s="24">
        <f t="shared" si="4"/>
        <v>5408.7</v>
      </c>
      <c r="J38" s="23">
        <f t="shared" si="4"/>
        <v>3300</v>
      </c>
      <c r="K38" s="24">
        <f t="shared" si="4"/>
        <v>8708.7000000000007</v>
      </c>
      <c r="L38" s="23">
        <f t="shared" si="4"/>
        <v>138968</v>
      </c>
      <c r="M38" s="23">
        <f t="shared" si="4"/>
        <v>7914.5999999999995</v>
      </c>
      <c r="N38" s="23">
        <f t="shared" si="4"/>
        <v>146882.59999999998</v>
      </c>
      <c r="O38" s="93"/>
      <c r="P38" s="93"/>
      <c r="Q38" s="25"/>
    </row>
    <row r="39" spans="1:17" ht="15.75" x14ac:dyDescent="0.2">
      <c r="A39" s="49"/>
      <c r="B39" s="50" t="s">
        <v>59</v>
      </c>
      <c r="C39" s="51" t="s">
        <v>60</v>
      </c>
      <c r="D39" s="52" t="s">
        <v>26</v>
      </c>
      <c r="E39" s="106"/>
      <c r="F39" s="53">
        <f>F40</f>
        <v>5600</v>
      </c>
      <c r="G39" s="53">
        <f>G40</f>
        <v>734.3</v>
      </c>
      <c r="H39" s="53">
        <f>H40</f>
        <v>6334.3</v>
      </c>
      <c r="I39" s="54">
        <f>I40</f>
        <v>0</v>
      </c>
      <c r="J39" s="87"/>
      <c r="K39" s="54">
        <f>K40</f>
        <v>0</v>
      </c>
      <c r="L39" s="53">
        <f>L40</f>
        <v>5600</v>
      </c>
      <c r="M39" s="53">
        <f>M40</f>
        <v>734.3</v>
      </c>
      <c r="N39" s="53">
        <f>N40</f>
        <v>6334.3</v>
      </c>
      <c r="O39" s="95"/>
      <c r="P39" s="95"/>
    </row>
    <row r="40" spans="1:17" ht="15.75" x14ac:dyDescent="0.2">
      <c r="A40" s="42"/>
      <c r="B40" s="43" t="s">
        <v>61</v>
      </c>
      <c r="C40" s="44" t="s">
        <v>62</v>
      </c>
      <c r="D40" s="45" t="s">
        <v>26</v>
      </c>
      <c r="E40" s="105"/>
      <c r="F40" s="46">
        <f>F41+F43+F45</f>
        <v>5600</v>
      </c>
      <c r="G40" s="46">
        <f>G41+G43+G45</f>
        <v>734.3</v>
      </c>
      <c r="H40" s="46">
        <f>H41+H43+H45</f>
        <v>6334.3</v>
      </c>
      <c r="I40" s="47">
        <f>I41+I43+I45</f>
        <v>0</v>
      </c>
      <c r="J40" s="88"/>
      <c r="K40" s="47">
        <f>K41+K43+K45</f>
        <v>0</v>
      </c>
      <c r="L40" s="46">
        <f>L41+L43+L45</f>
        <v>5600</v>
      </c>
      <c r="M40" s="46">
        <f>M41+M43+M45</f>
        <v>734.3</v>
      </c>
      <c r="N40" s="46">
        <f>N41+N43+N45</f>
        <v>6334.3</v>
      </c>
      <c r="O40" s="94"/>
      <c r="P40" s="94"/>
    </row>
    <row r="41" spans="1:17" ht="15.75" x14ac:dyDescent="0.2">
      <c r="A41" s="42"/>
      <c r="B41" s="43" t="s">
        <v>63</v>
      </c>
      <c r="C41" s="44" t="s">
        <v>64</v>
      </c>
      <c r="D41" s="45" t="s">
        <v>26</v>
      </c>
      <c r="E41" s="105"/>
      <c r="F41" s="46">
        <f>F42</f>
        <v>5300</v>
      </c>
      <c r="G41" s="46">
        <f>G42</f>
        <v>734.3</v>
      </c>
      <c r="H41" s="46">
        <f>H42</f>
        <v>6034.3</v>
      </c>
      <c r="I41" s="47">
        <f>I42</f>
        <v>0</v>
      </c>
      <c r="J41" s="88"/>
      <c r="K41" s="47">
        <f>K42</f>
        <v>0</v>
      </c>
      <c r="L41" s="46">
        <f>L42</f>
        <v>5300</v>
      </c>
      <c r="M41" s="46">
        <f>M42</f>
        <v>734.3</v>
      </c>
      <c r="N41" s="46">
        <f>N42</f>
        <v>6034.3</v>
      </c>
      <c r="O41" s="94"/>
      <c r="P41" s="94"/>
    </row>
    <row r="42" spans="1:17" ht="31.5" x14ac:dyDescent="0.2">
      <c r="A42" s="42"/>
      <c r="B42" s="43" t="s">
        <v>35</v>
      </c>
      <c r="C42" s="44" t="s">
        <v>64</v>
      </c>
      <c r="D42" s="45" t="s">
        <v>36</v>
      </c>
      <c r="E42" s="105"/>
      <c r="F42" s="46">
        <v>5300</v>
      </c>
      <c r="G42" s="46">
        <v>734.3</v>
      </c>
      <c r="H42" s="46">
        <f>5300+G42</f>
        <v>6034.3</v>
      </c>
      <c r="I42" s="47">
        <v>0</v>
      </c>
      <c r="J42" s="88"/>
      <c r="K42" s="47">
        <v>0</v>
      </c>
      <c r="L42" s="46">
        <v>5300</v>
      </c>
      <c r="M42" s="46">
        <f>SUM(G42)</f>
        <v>734.3</v>
      </c>
      <c r="N42" s="46">
        <f>5300+G42</f>
        <v>6034.3</v>
      </c>
      <c r="O42" s="94"/>
      <c r="P42" s="94"/>
    </row>
    <row r="43" spans="1:17" ht="15.75" x14ac:dyDescent="0.2">
      <c r="A43" s="42"/>
      <c r="B43" s="43" t="s">
        <v>65</v>
      </c>
      <c r="C43" s="44" t="s">
        <v>66</v>
      </c>
      <c r="D43" s="45" t="s">
        <v>26</v>
      </c>
      <c r="E43" s="105"/>
      <c r="F43" s="46">
        <f>F44</f>
        <v>300</v>
      </c>
      <c r="G43" s="46">
        <f>G44</f>
        <v>0</v>
      </c>
      <c r="H43" s="46">
        <f>H44</f>
        <v>300</v>
      </c>
      <c r="I43" s="47">
        <f>I44</f>
        <v>0</v>
      </c>
      <c r="J43" s="88"/>
      <c r="K43" s="47">
        <f>K44</f>
        <v>0</v>
      </c>
      <c r="L43" s="46">
        <f>L44</f>
        <v>300</v>
      </c>
      <c r="M43" s="46">
        <f>M44</f>
        <v>0</v>
      </c>
      <c r="N43" s="46">
        <f>N44</f>
        <v>300</v>
      </c>
      <c r="O43" s="94"/>
      <c r="P43" s="94"/>
    </row>
    <row r="44" spans="1:17" ht="31.5" x14ac:dyDescent="0.2">
      <c r="A44" s="42"/>
      <c r="B44" s="43" t="s">
        <v>35</v>
      </c>
      <c r="C44" s="44" t="s">
        <v>66</v>
      </c>
      <c r="D44" s="45" t="s">
        <v>36</v>
      </c>
      <c r="E44" s="105"/>
      <c r="F44" s="46">
        <v>300</v>
      </c>
      <c r="G44" s="46"/>
      <c r="H44" s="46">
        <v>300</v>
      </c>
      <c r="I44" s="47">
        <v>0</v>
      </c>
      <c r="J44" s="88"/>
      <c r="K44" s="47">
        <v>0</v>
      </c>
      <c r="L44" s="46">
        <v>300</v>
      </c>
      <c r="M44" s="46"/>
      <c r="N44" s="46">
        <v>300</v>
      </c>
      <c r="O44" s="94"/>
      <c r="P44" s="94"/>
    </row>
    <row r="45" spans="1:17" ht="15.75" x14ac:dyDescent="0.2">
      <c r="A45" s="42"/>
      <c r="B45" s="43" t="s">
        <v>67</v>
      </c>
      <c r="C45" s="44" t="s">
        <v>68</v>
      </c>
      <c r="D45" s="45" t="s">
        <v>26</v>
      </c>
      <c r="E45" s="105"/>
      <c r="F45" s="46">
        <f>F46</f>
        <v>0</v>
      </c>
      <c r="G45" s="46">
        <f>G46</f>
        <v>0</v>
      </c>
      <c r="H45" s="46">
        <f>H46</f>
        <v>0</v>
      </c>
      <c r="I45" s="47">
        <f>I46</f>
        <v>0</v>
      </c>
      <c r="J45" s="88"/>
      <c r="K45" s="47">
        <f>K46</f>
        <v>0</v>
      </c>
      <c r="L45" s="46">
        <f>L46</f>
        <v>0</v>
      </c>
      <c r="M45" s="46">
        <f>M46</f>
        <v>0</v>
      </c>
      <c r="N45" s="46">
        <f>N46</f>
        <v>0</v>
      </c>
      <c r="O45" s="94"/>
      <c r="P45" s="94"/>
    </row>
    <row r="46" spans="1:17" ht="31.5" x14ac:dyDescent="0.2">
      <c r="A46" s="42"/>
      <c r="B46" s="43" t="s">
        <v>35</v>
      </c>
      <c r="C46" s="44" t="s">
        <v>68</v>
      </c>
      <c r="D46" s="45" t="s">
        <v>36</v>
      </c>
      <c r="E46" s="105"/>
      <c r="F46" s="46"/>
      <c r="G46" s="46"/>
      <c r="H46" s="46"/>
      <c r="I46" s="47">
        <v>0</v>
      </c>
      <c r="J46" s="88"/>
      <c r="K46" s="47">
        <v>0</v>
      </c>
      <c r="L46" s="46"/>
      <c r="M46" s="46"/>
      <c r="N46" s="46"/>
      <c r="O46" s="94"/>
      <c r="P46" s="94"/>
    </row>
    <row r="47" spans="1:17" ht="47.25" x14ac:dyDescent="0.2">
      <c r="A47" s="49"/>
      <c r="B47" s="50" t="s">
        <v>69</v>
      </c>
      <c r="C47" s="51" t="s">
        <v>70</v>
      </c>
      <c r="D47" s="52" t="s">
        <v>26</v>
      </c>
      <c r="E47" s="106"/>
      <c r="F47" s="53">
        <f t="shared" ref="F47:N47" si="5">F48+F63</f>
        <v>126093.4</v>
      </c>
      <c r="G47" s="53">
        <f t="shared" si="5"/>
        <v>1757.4</v>
      </c>
      <c r="H47" s="53">
        <f t="shared" si="5"/>
        <v>127850.79999999999</v>
      </c>
      <c r="I47" s="54">
        <f t="shared" si="5"/>
        <v>5408.7</v>
      </c>
      <c r="J47" s="53">
        <f t="shared" si="5"/>
        <v>3300</v>
      </c>
      <c r="K47" s="54">
        <f t="shared" si="5"/>
        <v>8708.7000000000007</v>
      </c>
      <c r="L47" s="53">
        <f t="shared" si="5"/>
        <v>131502.1</v>
      </c>
      <c r="M47" s="53">
        <f t="shared" si="5"/>
        <v>7180.2999999999993</v>
      </c>
      <c r="N47" s="53">
        <f t="shared" si="5"/>
        <v>138682.4</v>
      </c>
      <c r="O47" s="95"/>
      <c r="P47" s="95"/>
      <c r="Q47" s="55"/>
    </row>
    <row r="48" spans="1:17" ht="36.6" customHeight="1" x14ac:dyDescent="0.2">
      <c r="A48" s="42"/>
      <c r="B48" s="43" t="s">
        <v>71</v>
      </c>
      <c r="C48" s="44" t="s">
        <v>72</v>
      </c>
      <c r="D48" s="45" t="s">
        <v>26</v>
      </c>
      <c r="E48" s="105"/>
      <c r="F48" s="46">
        <f>F49+F56+F58+F60</f>
        <v>116410.2</v>
      </c>
      <c r="G48" s="46">
        <f>G49+G56+G58+G60</f>
        <v>1729.4</v>
      </c>
      <c r="H48" s="46">
        <f>H49+H56+H58+H60</f>
        <v>118139.59999999999</v>
      </c>
      <c r="I48" s="46">
        <f>I49+I56+I58+I60</f>
        <v>5408.7</v>
      </c>
      <c r="J48" s="46">
        <f>SUM(J54)</f>
        <v>3300</v>
      </c>
      <c r="K48" s="46">
        <f>K49+K56+K58+K60+K54</f>
        <v>8708.7000000000007</v>
      </c>
      <c r="L48" s="46">
        <f>L49+L56+L58+L60</f>
        <v>121818.9</v>
      </c>
      <c r="M48" s="46">
        <f>M49+M56+M58+M60+M54</f>
        <v>7152.2999999999993</v>
      </c>
      <c r="N48" s="46">
        <f>N49+N56+N58+N60+N54</f>
        <v>128971.19999999998</v>
      </c>
      <c r="O48" s="94"/>
      <c r="P48" s="94"/>
      <c r="Q48" s="48"/>
    </row>
    <row r="49" spans="1:16" ht="31.5" x14ac:dyDescent="0.2">
      <c r="A49" s="42"/>
      <c r="B49" s="43" t="s">
        <v>39</v>
      </c>
      <c r="C49" s="44" t="s">
        <v>73</v>
      </c>
      <c r="D49" s="45" t="s">
        <v>26</v>
      </c>
      <c r="E49" s="105"/>
      <c r="F49" s="46">
        <f>F50+F51+F52+F53</f>
        <v>115274.6</v>
      </c>
      <c r="G49" s="46">
        <f>G50+G51+G52+G53</f>
        <v>170.4</v>
      </c>
      <c r="H49" s="46">
        <f>H50+H51+H52+H53</f>
        <v>115445</v>
      </c>
      <c r="I49" s="47">
        <f>I50+I51+I52+I53</f>
        <v>0</v>
      </c>
      <c r="J49" s="88"/>
      <c r="K49" s="47">
        <f>K50+K51+K52+K53</f>
        <v>0</v>
      </c>
      <c r="L49" s="46">
        <f>L50+L51+L52+L53</f>
        <v>115274.6</v>
      </c>
      <c r="M49" s="46">
        <f>M50+M51+M52+M53</f>
        <v>170.4</v>
      </c>
      <c r="N49" s="46">
        <f>N50+N51+N52+N53</f>
        <v>115445</v>
      </c>
      <c r="O49" s="94"/>
      <c r="P49" s="94"/>
    </row>
    <row r="50" spans="1:16" ht="64.150000000000006" customHeight="1" x14ac:dyDescent="0.2">
      <c r="A50" s="42"/>
      <c r="B50" s="43" t="s">
        <v>31</v>
      </c>
      <c r="C50" s="44" t="s">
        <v>73</v>
      </c>
      <c r="D50" s="45" t="s">
        <v>32</v>
      </c>
      <c r="E50" s="105"/>
      <c r="F50" s="56">
        <f>20290.4+351.1</f>
        <v>20641.5</v>
      </c>
      <c r="G50" s="56"/>
      <c r="H50" s="56">
        <f>20290.4+351.1</f>
        <v>20641.5</v>
      </c>
      <c r="I50" s="47">
        <v>0</v>
      </c>
      <c r="J50" s="111"/>
      <c r="K50" s="47">
        <v>0</v>
      </c>
      <c r="L50" s="56">
        <f>20290.4+351.1</f>
        <v>20641.5</v>
      </c>
      <c r="M50" s="56"/>
      <c r="N50" s="56">
        <f>20290.4+351.1</f>
        <v>20641.5</v>
      </c>
      <c r="O50" s="94"/>
      <c r="P50" s="94"/>
    </row>
    <row r="51" spans="1:16" ht="31.5" x14ac:dyDescent="0.2">
      <c r="A51" s="42"/>
      <c r="B51" s="43" t="s">
        <v>35</v>
      </c>
      <c r="C51" s="44" t="s">
        <v>73</v>
      </c>
      <c r="D51" s="45" t="s">
        <v>36</v>
      </c>
      <c r="E51" s="105"/>
      <c r="F51" s="46">
        <v>6740.3</v>
      </c>
      <c r="G51" s="46">
        <f>151.8+18.6+20.1-20.1</f>
        <v>170.4</v>
      </c>
      <c r="H51" s="46">
        <f>6740.3+G51</f>
        <v>6910.7</v>
      </c>
      <c r="I51" s="47">
        <v>0</v>
      </c>
      <c r="J51" s="88"/>
      <c r="K51" s="47">
        <v>0</v>
      </c>
      <c r="L51" s="46">
        <v>6740.3</v>
      </c>
      <c r="M51" s="46">
        <f>SUM(G51)</f>
        <v>170.4</v>
      </c>
      <c r="N51" s="46">
        <f>6740.3+M51</f>
        <v>6910.7</v>
      </c>
      <c r="O51" s="94"/>
      <c r="P51" s="94"/>
    </row>
    <row r="52" spans="1:16" ht="31.5" x14ac:dyDescent="0.2">
      <c r="A52" s="42"/>
      <c r="B52" s="43" t="s">
        <v>74</v>
      </c>
      <c r="C52" s="44" t="s">
        <v>73</v>
      </c>
      <c r="D52" s="45" t="s">
        <v>75</v>
      </c>
      <c r="E52" s="105"/>
      <c r="F52" s="56">
        <f>86661+1213.2</f>
        <v>87874.2</v>
      </c>
      <c r="G52" s="56"/>
      <c r="H52" s="56">
        <f>86661+1213.2</f>
        <v>87874.2</v>
      </c>
      <c r="I52" s="47">
        <v>0</v>
      </c>
      <c r="J52" s="111"/>
      <c r="K52" s="47">
        <v>0</v>
      </c>
      <c r="L52" s="56">
        <f>86661+1213.2</f>
        <v>87874.2</v>
      </c>
      <c r="M52" s="56"/>
      <c r="N52" s="56">
        <f>86661+1213.2</f>
        <v>87874.2</v>
      </c>
      <c r="O52" s="94"/>
      <c r="P52" s="94"/>
    </row>
    <row r="53" spans="1:16" ht="15.75" x14ac:dyDescent="0.2">
      <c r="A53" s="42"/>
      <c r="B53" s="43" t="s">
        <v>41</v>
      </c>
      <c r="C53" s="44" t="s">
        <v>73</v>
      </c>
      <c r="D53" s="45" t="s">
        <v>42</v>
      </c>
      <c r="E53" s="105"/>
      <c r="F53" s="46">
        <v>18.600000000000001</v>
      </c>
      <c r="G53" s="46"/>
      <c r="H53" s="46">
        <v>18.600000000000001</v>
      </c>
      <c r="I53" s="47">
        <v>0</v>
      </c>
      <c r="J53" s="88"/>
      <c r="K53" s="47">
        <v>0</v>
      </c>
      <c r="L53" s="46">
        <v>18.600000000000001</v>
      </c>
      <c r="M53" s="46"/>
      <c r="N53" s="46">
        <v>18.600000000000001</v>
      </c>
      <c r="O53" s="94"/>
      <c r="P53" s="94"/>
    </row>
    <row r="54" spans="1:16" ht="42.75" customHeight="1" x14ac:dyDescent="0.2">
      <c r="A54" s="42"/>
      <c r="B54" s="122" t="s">
        <v>76</v>
      </c>
      <c r="C54" s="44" t="s">
        <v>77</v>
      </c>
      <c r="D54" s="45"/>
      <c r="E54" s="105"/>
      <c r="F54" s="46"/>
      <c r="G54" s="46">
        <f>SUM(G55)</f>
        <v>2122.9</v>
      </c>
      <c r="H54" s="46">
        <f>SUM(G54)</f>
        <v>2122.9</v>
      </c>
      <c r="I54" s="47"/>
      <c r="J54" s="88">
        <f>SUM(J55)</f>
        <v>3300</v>
      </c>
      <c r="K54" s="47">
        <f>SUM(J54)</f>
        <v>3300</v>
      </c>
      <c r="L54" s="46"/>
      <c r="M54" s="46">
        <f>SUM(J54)+G54</f>
        <v>5422.9</v>
      </c>
      <c r="N54" s="46">
        <f>SUM(K54)+H54</f>
        <v>5422.9</v>
      </c>
      <c r="O54" s="94"/>
      <c r="P54" s="94"/>
    </row>
    <row r="55" spans="1:16" ht="31.5" x14ac:dyDescent="0.2">
      <c r="A55" s="42"/>
      <c r="B55" s="43" t="s">
        <v>74</v>
      </c>
      <c r="C55" s="44" t="s">
        <v>77</v>
      </c>
      <c r="D55" s="45" t="s">
        <v>75</v>
      </c>
      <c r="E55" s="105"/>
      <c r="F55" s="46"/>
      <c r="G55" s="46">
        <f>1564+558.9</f>
        <v>2122.9</v>
      </c>
      <c r="H55" s="46">
        <f>SUM(G55)</f>
        <v>2122.9</v>
      </c>
      <c r="I55" s="47"/>
      <c r="J55" s="88">
        <v>3300</v>
      </c>
      <c r="K55" s="47">
        <f>SUM(J55)</f>
        <v>3300</v>
      </c>
      <c r="L55" s="46"/>
      <c r="M55" s="46">
        <f>SUM(J55)+G55</f>
        <v>5422.9</v>
      </c>
      <c r="N55" s="46">
        <f>SUM(K55)+H55</f>
        <v>5422.9</v>
      </c>
      <c r="O55" s="94"/>
      <c r="P55" s="94"/>
    </row>
    <row r="56" spans="1:16" ht="36" customHeight="1" x14ac:dyDescent="0.2">
      <c r="A56" s="42"/>
      <c r="B56" s="43" t="s">
        <v>78</v>
      </c>
      <c r="C56" s="44" t="s">
        <v>79</v>
      </c>
      <c r="D56" s="45" t="s">
        <v>26</v>
      </c>
      <c r="E56" s="105"/>
      <c r="F56" s="46">
        <f>F57</f>
        <v>255</v>
      </c>
      <c r="G56" s="46">
        <f>G57</f>
        <v>1559</v>
      </c>
      <c r="H56" s="46">
        <f>H57</f>
        <v>1814</v>
      </c>
      <c r="I56" s="47">
        <f>I57</f>
        <v>0</v>
      </c>
      <c r="J56" s="88"/>
      <c r="K56" s="47">
        <f>K57</f>
        <v>0</v>
      </c>
      <c r="L56" s="46">
        <f>L57</f>
        <v>255</v>
      </c>
      <c r="M56" s="46">
        <f>M57</f>
        <v>1559</v>
      </c>
      <c r="N56" s="46">
        <f>N57</f>
        <v>1814</v>
      </c>
      <c r="O56" s="94"/>
      <c r="P56" s="94"/>
    </row>
    <row r="57" spans="1:16" ht="31.5" x14ac:dyDescent="0.2">
      <c r="A57" s="42"/>
      <c r="B57" s="43" t="s">
        <v>74</v>
      </c>
      <c r="C57" s="44" t="s">
        <v>79</v>
      </c>
      <c r="D57" s="45" t="s">
        <v>75</v>
      </c>
      <c r="E57" s="105"/>
      <c r="F57" s="46">
        <v>255</v>
      </c>
      <c r="G57" s="46">
        <f>1559</f>
        <v>1559</v>
      </c>
      <c r="H57" s="46">
        <f>255+G57</f>
        <v>1814</v>
      </c>
      <c r="I57" s="47">
        <v>0</v>
      </c>
      <c r="J57" s="88"/>
      <c r="K57" s="47">
        <v>0</v>
      </c>
      <c r="L57" s="46">
        <v>255</v>
      </c>
      <c r="M57" s="46">
        <f>SUM(G57)</f>
        <v>1559</v>
      </c>
      <c r="N57" s="46">
        <f>255+M57</f>
        <v>1814</v>
      </c>
      <c r="O57" s="94"/>
      <c r="P57" s="94"/>
    </row>
    <row r="58" spans="1:16" ht="33" customHeight="1" x14ac:dyDescent="0.2">
      <c r="A58" s="42"/>
      <c r="B58" s="43" t="s">
        <v>80</v>
      </c>
      <c r="C58" s="44" t="s">
        <v>81</v>
      </c>
      <c r="D58" s="45" t="s">
        <v>26</v>
      </c>
      <c r="E58" s="105"/>
      <c r="F58" s="46">
        <f>F59</f>
        <v>626.20000000000005</v>
      </c>
      <c r="G58" s="46">
        <f>G59</f>
        <v>0</v>
      </c>
      <c r="H58" s="46">
        <f>H59</f>
        <v>626.20000000000005</v>
      </c>
      <c r="I58" s="47">
        <f>I59</f>
        <v>3846.2</v>
      </c>
      <c r="J58" s="88"/>
      <c r="K58" s="47">
        <f>K59</f>
        <v>3846.2</v>
      </c>
      <c r="L58" s="46">
        <f>L59</f>
        <v>4472.3999999999996</v>
      </c>
      <c r="M58" s="46">
        <f>M59</f>
        <v>0</v>
      </c>
      <c r="N58" s="46">
        <f>N59</f>
        <v>4472.3999999999996</v>
      </c>
      <c r="O58" s="94"/>
      <c r="P58" s="94"/>
    </row>
    <row r="59" spans="1:16" ht="31.5" x14ac:dyDescent="0.2">
      <c r="A59" s="42"/>
      <c r="B59" s="43" t="s">
        <v>74</v>
      </c>
      <c r="C59" s="44" t="s">
        <v>81</v>
      </c>
      <c r="D59" s="45" t="s">
        <v>75</v>
      </c>
      <c r="E59" s="105"/>
      <c r="F59" s="46">
        <v>626.20000000000005</v>
      </c>
      <c r="G59" s="46"/>
      <c r="H59" s="46">
        <v>626.20000000000005</v>
      </c>
      <c r="I59" s="47">
        <v>3846.2</v>
      </c>
      <c r="J59" s="88"/>
      <c r="K59" s="47">
        <v>3846.2</v>
      </c>
      <c r="L59" s="46">
        <f>626.2+I59</f>
        <v>4472.3999999999996</v>
      </c>
      <c r="M59" s="46"/>
      <c r="N59" s="46">
        <f>626.2+K59</f>
        <v>4472.3999999999996</v>
      </c>
      <c r="O59" s="94"/>
      <c r="P59" s="94"/>
    </row>
    <row r="60" spans="1:16" ht="15.75" x14ac:dyDescent="0.2">
      <c r="A60" s="42"/>
      <c r="B60" s="43" t="s">
        <v>82</v>
      </c>
      <c r="C60" s="44" t="s">
        <v>83</v>
      </c>
      <c r="D60" s="45"/>
      <c r="E60" s="105"/>
      <c r="F60" s="46">
        <v>254.4</v>
      </c>
      <c r="G60" s="46"/>
      <c r="H60" s="46">
        <v>254.4</v>
      </c>
      <c r="I60" s="47">
        <v>1562.5</v>
      </c>
      <c r="J60" s="88"/>
      <c r="K60" s="47">
        <v>1562.5</v>
      </c>
      <c r="L60" s="46">
        <f>254.4+I60</f>
        <v>1816.9</v>
      </c>
      <c r="M60" s="46"/>
      <c r="N60" s="46">
        <f>254.4+K60</f>
        <v>1816.9</v>
      </c>
      <c r="O60" s="94"/>
      <c r="P60" s="94"/>
    </row>
    <row r="61" spans="1:16" ht="21" customHeight="1" x14ac:dyDescent="0.2">
      <c r="A61" s="42"/>
      <c r="B61" s="43" t="s">
        <v>84</v>
      </c>
      <c r="C61" s="44" t="s">
        <v>85</v>
      </c>
      <c r="D61" s="45"/>
      <c r="E61" s="105"/>
      <c r="F61" s="46">
        <v>254.4</v>
      </c>
      <c r="G61" s="46"/>
      <c r="H61" s="46">
        <v>254.4</v>
      </c>
      <c r="I61" s="47">
        <v>1562.5</v>
      </c>
      <c r="J61" s="88"/>
      <c r="K61" s="47">
        <v>1562.5</v>
      </c>
      <c r="L61" s="46">
        <f>254.4+I61</f>
        <v>1816.9</v>
      </c>
      <c r="M61" s="46"/>
      <c r="N61" s="46">
        <f>254.4+K61</f>
        <v>1816.9</v>
      </c>
      <c r="O61" s="94"/>
      <c r="P61" s="94"/>
    </row>
    <row r="62" spans="1:16" ht="31.5" x14ac:dyDescent="0.2">
      <c r="A62" s="42"/>
      <c r="B62" s="43" t="s">
        <v>74</v>
      </c>
      <c r="C62" s="44" t="s">
        <v>83</v>
      </c>
      <c r="D62" s="45" t="s">
        <v>75</v>
      </c>
      <c r="E62" s="105"/>
      <c r="F62" s="46">
        <v>254.4</v>
      </c>
      <c r="G62" s="46"/>
      <c r="H62" s="46">
        <v>254.4</v>
      </c>
      <c r="I62" s="47">
        <v>1562.5</v>
      </c>
      <c r="J62" s="88"/>
      <c r="K62" s="47">
        <v>1562.5</v>
      </c>
      <c r="L62" s="46">
        <f>254.4+I62</f>
        <v>1816.9</v>
      </c>
      <c r="M62" s="46"/>
      <c r="N62" s="46">
        <f>254.4+K62</f>
        <v>1816.9</v>
      </c>
      <c r="O62" s="94"/>
      <c r="P62" s="94"/>
    </row>
    <row r="63" spans="1:16" ht="36" customHeight="1" x14ac:dyDescent="0.2">
      <c r="A63" s="42"/>
      <c r="B63" s="43" t="s">
        <v>86</v>
      </c>
      <c r="C63" s="44" t="s">
        <v>87</v>
      </c>
      <c r="D63" s="45" t="s">
        <v>26</v>
      </c>
      <c r="E63" s="105"/>
      <c r="F63" s="46">
        <f>F64</f>
        <v>9683.1999999999989</v>
      </c>
      <c r="G63" s="46">
        <f>G64</f>
        <v>28</v>
      </c>
      <c r="H63" s="46">
        <f>H64</f>
        <v>9711.1999999999989</v>
      </c>
      <c r="I63" s="47">
        <f>I64</f>
        <v>0</v>
      </c>
      <c r="J63" s="88"/>
      <c r="K63" s="47">
        <f>K64</f>
        <v>0</v>
      </c>
      <c r="L63" s="46">
        <f>L64</f>
        <v>9683.1999999999989</v>
      </c>
      <c r="M63" s="46">
        <f>M64</f>
        <v>28</v>
      </c>
      <c r="N63" s="46">
        <f>N64</f>
        <v>9711.1999999999989</v>
      </c>
      <c r="O63" s="94"/>
      <c r="P63" s="94"/>
    </row>
    <row r="64" spans="1:16" ht="31.5" x14ac:dyDescent="0.2">
      <c r="A64" s="42"/>
      <c r="B64" s="43" t="s">
        <v>39</v>
      </c>
      <c r="C64" s="44" t="s">
        <v>88</v>
      </c>
      <c r="D64" s="45" t="s">
        <v>26</v>
      </c>
      <c r="E64" s="105"/>
      <c r="F64" s="46">
        <f>F65+F66+F67</f>
        <v>9683.1999999999989</v>
      </c>
      <c r="G64" s="46">
        <f>G65+G66+G67</f>
        <v>28</v>
      </c>
      <c r="H64" s="46">
        <f>H65+H66+H67</f>
        <v>9711.1999999999989</v>
      </c>
      <c r="I64" s="47">
        <f>I65+I66+I67</f>
        <v>0</v>
      </c>
      <c r="J64" s="88"/>
      <c r="K64" s="47">
        <f>K65+K66+K67</f>
        <v>0</v>
      </c>
      <c r="L64" s="46">
        <f>L65+L66+L67</f>
        <v>9683.1999999999989</v>
      </c>
      <c r="M64" s="46">
        <f>M65+M66+M67</f>
        <v>28</v>
      </c>
      <c r="N64" s="46">
        <f>N65+N66+N67</f>
        <v>9711.1999999999989</v>
      </c>
      <c r="O64" s="94"/>
      <c r="P64" s="94"/>
    </row>
    <row r="65" spans="1:16" ht="70.150000000000006" customHeight="1" x14ac:dyDescent="0.2">
      <c r="A65" s="42"/>
      <c r="B65" s="43" t="s">
        <v>31</v>
      </c>
      <c r="C65" s="44" t="s">
        <v>88</v>
      </c>
      <c r="D65" s="45" t="s">
        <v>32</v>
      </c>
      <c r="E65" s="105"/>
      <c r="F65" s="46">
        <v>8275.2999999999993</v>
      </c>
      <c r="G65" s="46">
        <v>7.9</v>
      </c>
      <c r="H65" s="46">
        <f>8275.3+G65</f>
        <v>8283.1999999999989</v>
      </c>
      <c r="I65" s="47">
        <v>0</v>
      </c>
      <c r="J65" s="88"/>
      <c r="K65" s="47">
        <v>0</v>
      </c>
      <c r="L65" s="46">
        <v>8275.2999999999993</v>
      </c>
      <c r="M65" s="46">
        <f>SUM(G65)</f>
        <v>7.9</v>
      </c>
      <c r="N65" s="46">
        <f>8275.3+M65</f>
        <v>8283.1999999999989</v>
      </c>
      <c r="O65" s="94"/>
      <c r="P65" s="94"/>
    </row>
    <row r="66" spans="1:16" ht="31.5" x14ac:dyDescent="0.2">
      <c r="A66" s="42"/>
      <c r="B66" s="43" t="s">
        <v>35</v>
      </c>
      <c r="C66" s="44" t="s">
        <v>88</v>
      </c>
      <c r="D66" s="45" t="s">
        <v>36</v>
      </c>
      <c r="E66" s="105"/>
      <c r="F66" s="46">
        <v>1406.8</v>
      </c>
      <c r="G66" s="46">
        <v>20.100000000000001</v>
      </c>
      <c r="H66" s="46">
        <f>1406.8+G66</f>
        <v>1426.8999999999999</v>
      </c>
      <c r="I66" s="47">
        <v>0</v>
      </c>
      <c r="J66" s="88"/>
      <c r="K66" s="47">
        <v>0</v>
      </c>
      <c r="L66" s="46">
        <v>1406.8</v>
      </c>
      <c r="M66" s="46">
        <f>SUM(G66)</f>
        <v>20.100000000000001</v>
      </c>
      <c r="N66" s="46">
        <f>1406.8+M66</f>
        <v>1426.8999999999999</v>
      </c>
      <c r="O66" s="94"/>
      <c r="P66" s="94"/>
    </row>
    <row r="67" spans="1:16" ht="15.75" x14ac:dyDescent="0.2">
      <c r="A67" s="42"/>
      <c r="B67" s="43" t="s">
        <v>41</v>
      </c>
      <c r="C67" s="44" t="s">
        <v>88</v>
      </c>
      <c r="D67" s="45" t="s">
        <v>42</v>
      </c>
      <c r="E67" s="105"/>
      <c r="F67" s="46">
        <v>1.1000000000000001</v>
      </c>
      <c r="G67" s="46"/>
      <c r="H67" s="46">
        <v>1.1000000000000001</v>
      </c>
      <c r="I67" s="47">
        <v>0</v>
      </c>
      <c r="J67" s="88"/>
      <c r="K67" s="47">
        <v>0</v>
      </c>
      <c r="L67" s="46">
        <v>1.1000000000000001</v>
      </c>
      <c r="M67" s="46"/>
      <c r="N67" s="46">
        <v>1.1000000000000001</v>
      </c>
      <c r="O67" s="94"/>
      <c r="P67" s="94"/>
    </row>
    <row r="68" spans="1:16" ht="31.5" x14ac:dyDescent="0.2">
      <c r="A68" s="49"/>
      <c r="B68" s="50" t="s">
        <v>89</v>
      </c>
      <c r="C68" s="51" t="s">
        <v>90</v>
      </c>
      <c r="D68" s="52" t="s">
        <v>26</v>
      </c>
      <c r="E68" s="106"/>
      <c r="F68" s="53">
        <f t="shared" ref="F68:N69" si="6">F69</f>
        <v>1865.9</v>
      </c>
      <c r="G68" s="53">
        <f t="shared" si="6"/>
        <v>0</v>
      </c>
      <c r="H68" s="53">
        <f t="shared" si="6"/>
        <v>1865.9</v>
      </c>
      <c r="I68" s="54">
        <f t="shared" si="6"/>
        <v>0</v>
      </c>
      <c r="J68" s="53">
        <f t="shared" si="6"/>
        <v>0</v>
      </c>
      <c r="K68" s="54">
        <f t="shared" si="6"/>
        <v>0</v>
      </c>
      <c r="L68" s="53">
        <f t="shared" si="6"/>
        <v>1865.9</v>
      </c>
      <c r="M68" s="53">
        <f t="shared" si="6"/>
        <v>0</v>
      </c>
      <c r="N68" s="53">
        <f t="shared" si="6"/>
        <v>1865.9</v>
      </c>
      <c r="O68" s="95"/>
      <c r="P68" s="95"/>
    </row>
    <row r="69" spans="1:16" ht="31.5" x14ac:dyDescent="0.2">
      <c r="A69" s="42"/>
      <c r="B69" s="43" t="s">
        <v>91</v>
      </c>
      <c r="C69" s="44" t="s">
        <v>92</v>
      </c>
      <c r="D69" s="45" t="s">
        <v>26</v>
      </c>
      <c r="E69" s="105"/>
      <c r="F69" s="46">
        <f t="shared" si="6"/>
        <v>1865.9</v>
      </c>
      <c r="G69" s="46">
        <f t="shared" si="6"/>
        <v>0</v>
      </c>
      <c r="H69" s="46">
        <f t="shared" si="6"/>
        <v>1865.9</v>
      </c>
      <c r="I69" s="47">
        <f t="shared" si="6"/>
        <v>0</v>
      </c>
      <c r="J69" s="88"/>
      <c r="K69" s="47">
        <f t="shared" si="6"/>
        <v>0</v>
      </c>
      <c r="L69" s="46">
        <f t="shared" si="6"/>
        <v>1865.9</v>
      </c>
      <c r="M69" s="46">
        <f t="shared" si="6"/>
        <v>0</v>
      </c>
      <c r="N69" s="46">
        <f t="shared" si="6"/>
        <v>1865.9</v>
      </c>
      <c r="O69" s="94"/>
      <c r="P69" s="94"/>
    </row>
    <row r="70" spans="1:16" ht="31.5" x14ac:dyDescent="0.2">
      <c r="A70" s="42"/>
      <c r="B70" s="43" t="s">
        <v>93</v>
      </c>
      <c r="C70" s="44" t="s">
        <v>94</v>
      </c>
      <c r="D70" s="45" t="s">
        <v>26</v>
      </c>
      <c r="E70" s="105"/>
      <c r="F70" s="46">
        <f>F71+F72</f>
        <v>1865.9</v>
      </c>
      <c r="G70" s="46">
        <f>G71+G72</f>
        <v>0</v>
      </c>
      <c r="H70" s="46">
        <f>H71+H72</f>
        <v>1865.9</v>
      </c>
      <c r="I70" s="47">
        <f>I71+I72</f>
        <v>0</v>
      </c>
      <c r="J70" s="88"/>
      <c r="K70" s="47">
        <f>K71+K72</f>
        <v>0</v>
      </c>
      <c r="L70" s="46">
        <f>L71+L72</f>
        <v>1865.9</v>
      </c>
      <c r="M70" s="46">
        <f>M71+M72</f>
        <v>0</v>
      </c>
      <c r="N70" s="46">
        <f>N71+N72</f>
        <v>1865.9</v>
      </c>
      <c r="O70" s="94"/>
      <c r="P70" s="94"/>
    </row>
    <row r="71" spans="1:16" ht="66" customHeight="1" x14ac:dyDescent="0.2">
      <c r="A71" s="42"/>
      <c r="B71" s="43" t="s">
        <v>31</v>
      </c>
      <c r="C71" s="44" t="s">
        <v>94</v>
      </c>
      <c r="D71" s="45" t="s">
        <v>32</v>
      </c>
      <c r="E71" s="105"/>
      <c r="F71" s="46">
        <v>1855.9</v>
      </c>
      <c r="G71" s="46"/>
      <c r="H71" s="46">
        <v>1855.9</v>
      </c>
      <c r="I71" s="47">
        <v>0</v>
      </c>
      <c r="J71" s="88"/>
      <c r="K71" s="47">
        <v>0</v>
      </c>
      <c r="L71" s="46">
        <v>1855.9</v>
      </c>
      <c r="M71" s="46"/>
      <c r="N71" s="46">
        <v>1855.9</v>
      </c>
      <c r="O71" s="94"/>
      <c r="P71" s="94"/>
    </row>
    <row r="72" spans="1:16" ht="31.5" x14ac:dyDescent="0.2">
      <c r="A72" s="42"/>
      <c r="B72" s="43" t="s">
        <v>35</v>
      </c>
      <c r="C72" s="44" t="s">
        <v>94</v>
      </c>
      <c r="D72" s="45" t="s">
        <v>36</v>
      </c>
      <c r="E72" s="105"/>
      <c r="F72" s="46">
        <v>10</v>
      </c>
      <c r="G72" s="46"/>
      <c r="H72" s="46">
        <v>10</v>
      </c>
      <c r="I72" s="47">
        <v>0</v>
      </c>
      <c r="J72" s="88"/>
      <c r="K72" s="47">
        <v>0</v>
      </c>
      <c r="L72" s="46">
        <v>10</v>
      </c>
      <c r="M72" s="46"/>
      <c r="N72" s="46">
        <v>10</v>
      </c>
      <c r="O72" s="94"/>
      <c r="P72" s="94"/>
    </row>
    <row r="73" spans="1:16" ht="31.5" x14ac:dyDescent="0.2">
      <c r="A73" s="19" t="s">
        <v>95</v>
      </c>
      <c r="B73" s="20" t="s">
        <v>96</v>
      </c>
      <c r="C73" s="21" t="s">
        <v>97</v>
      </c>
      <c r="D73" s="22" t="s">
        <v>26</v>
      </c>
      <c r="E73" s="104"/>
      <c r="F73" s="23">
        <f t="shared" ref="F73:N73" si="7">F74+F81</f>
        <v>8816</v>
      </c>
      <c r="G73" s="23">
        <f t="shared" si="7"/>
        <v>0</v>
      </c>
      <c r="H73" s="23">
        <f t="shared" si="7"/>
        <v>8816</v>
      </c>
      <c r="I73" s="24">
        <f t="shared" si="7"/>
        <v>0</v>
      </c>
      <c r="J73" s="23">
        <f t="shared" si="7"/>
        <v>0</v>
      </c>
      <c r="K73" s="24">
        <f t="shared" si="7"/>
        <v>0</v>
      </c>
      <c r="L73" s="23">
        <f t="shared" si="7"/>
        <v>8816</v>
      </c>
      <c r="M73" s="23">
        <f t="shared" si="7"/>
        <v>0</v>
      </c>
      <c r="N73" s="23">
        <f t="shared" si="7"/>
        <v>8816</v>
      </c>
      <c r="O73" s="93"/>
      <c r="P73" s="93"/>
    </row>
    <row r="74" spans="1:16" ht="31.5" x14ac:dyDescent="0.2">
      <c r="A74" s="49"/>
      <c r="B74" s="50" t="s">
        <v>98</v>
      </c>
      <c r="C74" s="51" t="s">
        <v>99</v>
      </c>
      <c r="D74" s="52" t="s">
        <v>26</v>
      </c>
      <c r="E74" s="106"/>
      <c r="F74" s="53">
        <f t="shared" ref="F74:N74" si="8">F75+F78</f>
        <v>8536</v>
      </c>
      <c r="G74" s="53">
        <f t="shared" si="8"/>
        <v>0</v>
      </c>
      <c r="H74" s="53">
        <f t="shared" si="8"/>
        <v>8536</v>
      </c>
      <c r="I74" s="54">
        <f t="shared" si="8"/>
        <v>0</v>
      </c>
      <c r="J74" s="53">
        <f t="shared" si="8"/>
        <v>0</v>
      </c>
      <c r="K74" s="54">
        <f t="shared" si="8"/>
        <v>0</v>
      </c>
      <c r="L74" s="53">
        <f t="shared" si="8"/>
        <v>8536</v>
      </c>
      <c r="M74" s="53">
        <f t="shared" si="8"/>
        <v>0</v>
      </c>
      <c r="N74" s="53">
        <f t="shared" si="8"/>
        <v>8536</v>
      </c>
      <c r="O74" s="95"/>
      <c r="P74" s="95"/>
    </row>
    <row r="75" spans="1:16" ht="31.5" x14ac:dyDescent="0.2">
      <c r="A75" s="42"/>
      <c r="B75" s="43" t="s">
        <v>100</v>
      </c>
      <c r="C75" s="44" t="s">
        <v>101</v>
      </c>
      <c r="D75" s="45" t="s">
        <v>26</v>
      </c>
      <c r="E75" s="105"/>
      <c r="F75" s="46">
        <f t="shared" ref="F75:N76" si="9">F76</f>
        <v>4496</v>
      </c>
      <c r="G75" s="46">
        <f t="shared" si="9"/>
        <v>0</v>
      </c>
      <c r="H75" s="46">
        <f t="shared" si="9"/>
        <v>4496</v>
      </c>
      <c r="I75" s="47">
        <f t="shared" si="9"/>
        <v>0</v>
      </c>
      <c r="J75" s="88"/>
      <c r="K75" s="47">
        <f t="shared" si="9"/>
        <v>0</v>
      </c>
      <c r="L75" s="46">
        <f t="shared" si="9"/>
        <v>4496</v>
      </c>
      <c r="M75" s="46">
        <f t="shared" si="9"/>
        <v>0</v>
      </c>
      <c r="N75" s="46">
        <f t="shared" si="9"/>
        <v>4496</v>
      </c>
      <c r="O75" s="94"/>
      <c r="P75" s="94"/>
    </row>
    <row r="76" spans="1:16" ht="15.75" x14ac:dyDescent="0.2">
      <c r="A76" s="42"/>
      <c r="B76" s="43" t="s">
        <v>102</v>
      </c>
      <c r="C76" s="44" t="s">
        <v>103</v>
      </c>
      <c r="D76" s="45" t="s">
        <v>26</v>
      </c>
      <c r="E76" s="105"/>
      <c r="F76" s="46">
        <f t="shared" si="9"/>
        <v>4496</v>
      </c>
      <c r="G76" s="46">
        <f t="shared" si="9"/>
        <v>0</v>
      </c>
      <c r="H76" s="46">
        <f t="shared" si="9"/>
        <v>4496</v>
      </c>
      <c r="I76" s="47">
        <f t="shared" si="9"/>
        <v>0</v>
      </c>
      <c r="J76" s="88"/>
      <c r="K76" s="47">
        <f t="shared" si="9"/>
        <v>0</v>
      </c>
      <c r="L76" s="46">
        <f t="shared" si="9"/>
        <v>4496</v>
      </c>
      <c r="M76" s="46">
        <f t="shared" si="9"/>
        <v>0</v>
      </c>
      <c r="N76" s="46">
        <f t="shared" si="9"/>
        <v>4496</v>
      </c>
      <c r="O76" s="94"/>
      <c r="P76" s="94"/>
    </row>
    <row r="77" spans="1:16" ht="15.75" x14ac:dyDescent="0.2">
      <c r="A77" s="42"/>
      <c r="B77" s="43" t="s">
        <v>54</v>
      </c>
      <c r="C77" s="44" t="s">
        <v>103</v>
      </c>
      <c r="D77" s="45" t="s">
        <v>55</v>
      </c>
      <c r="E77" s="105"/>
      <c r="F77" s="46">
        <v>4496</v>
      </c>
      <c r="G77" s="46"/>
      <c r="H77" s="46">
        <v>4496</v>
      </c>
      <c r="I77" s="47">
        <v>0</v>
      </c>
      <c r="J77" s="88"/>
      <c r="K77" s="47">
        <v>0</v>
      </c>
      <c r="L77" s="46">
        <v>4496</v>
      </c>
      <c r="M77" s="46"/>
      <c r="N77" s="46">
        <v>4496</v>
      </c>
      <c r="O77" s="94"/>
      <c r="P77" s="94"/>
    </row>
    <row r="78" spans="1:16" ht="36" customHeight="1" x14ac:dyDescent="0.2">
      <c r="A78" s="42"/>
      <c r="B78" s="43" t="s">
        <v>104</v>
      </c>
      <c r="C78" s="44" t="s">
        <v>105</v>
      </c>
      <c r="D78" s="45" t="s">
        <v>26</v>
      </c>
      <c r="E78" s="105"/>
      <c r="F78" s="46">
        <f t="shared" ref="F78:N79" si="10">F79</f>
        <v>4040</v>
      </c>
      <c r="G78" s="46">
        <f t="shared" si="10"/>
        <v>0</v>
      </c>
      <c r="H78" s="46">
        <f t="shared" si="10"/>
        <v>4040</v>
      </c>
      <c r="I78" s="47">
        <f t="shared" si="10"/>
        <v>0</v>
      </c>
      <c r="J78" s="88"/>
      <c r="K78" s="47">
        <f t="shared" si="10"/>
        <v>0</v>
      </c>
      <c r="L78" s="46">
        <f t="shared" si="10"/>
        <v>4040</v>
      </c>
      <c r="M78" s="46">
        <f t="shared" si="10"/>
        <v>0</v>
      </c>
      <c r="N78" s="46">
        <f t="shared" si="10"/>
        <v>4040</v>
      </c>
      <c r="O78" s="94"/>
      <c r="P78" s="94"/>
    </row>
    <row r="79" spans="1:16" ht="31.5" x14ac:dyDescent="0.2">
      <c r="A79" s="42"/>
      <c r="B79" s="43" t="s">
        <v>106</v>
      </c>
      <c r="C79" s="44" t="s">
        <v>107</v>
      </c>
      <c r="D79" s="45" t="s">
        <v>26</v>
      </c>
      <c r="E79" s="105"/>
      <c r="F79" s="46">
        <f t="shared" si="10"/>
        <v>4040</v>
      </c>
      <c r="G79" s="46">
        <f t="shared" si="10"/>
        <v>0</v>
      </c>
      <c r="H79" s="46">
        <f t="shared" si="10"/>
        <v>4040</v>
      </c>
      <c r="I79" s="47">
        <f t="shared" si="10"/>
        <v>0</v>
      </c>
      <c r="J79" s="88"/>
      <c r="K79" s="47">
        <f t="shared" si="10"/>
        <v>0</v>
      </c>
      <c r="L79" s="46">
        <f t="shared" si="10"/>
        <v>4040</v>
      </c>
      <c r="M79" s="46">
        <f t="shared" si="10"/>
        <v>0</v>
      </c>
      <c r="N79" s="46">
        <f t="shared" si="10"/>
        <v>4040</v>
      </c>
      <c r="O79" s="94"/>
      <c r="P79" s="94"/>
    </row>
    <row r="80" spans="1:16" ht="15.75" x14ac:dyDescent="0.2">
      <c r="A80" s="42"/>
      <c r="B80" s="43" t="s">
        <v>54</v>
      </c>
      <c r="C80" s="44" t="s">
        <v>107</v>
      </c>
      <c r="D80" s="45" t="s">
        <v>55</v>
      </c>
      <c r="E80" s="105"/>
      <c r="F80" s="46">
        <v>4040</v>
      </c>
      <c r="G80" s="46"/>
      <c r="H80" s="46">
        <v>4040</v>
      </c>
      <c r="I80" s="47">
        <v>0</v>
      </c>
      <c r="J80" s="88"/>
      <c r="K80" s="47">
        <v>0</v>
      </c>
      <c r="L80" s="46">
        <v>4040</v>
      </c>
      <c r="M80" s="46"/>
      <c r="N80" s="46">
        <v>4040</v>
      </c>
      <c r="O80" s="94"/>
      <c r="P80" s="94"/>
    </row>
    <row r="81" spans="1:17" ht="37.9" customHeight="1" x14ac:dyDescent="0.2">
      <c r="A81" s="49"/>
      <c r="B81" s="50" t="s">
        <v>108</v>
      </c>
      <c r="C81" s="51" t="s">
        <v>109</v>
      </c>
      <c r="D81" s="52" t="s">
        <v>26</v>
      </c>
      <c r="E81" s="106"/>
      <c r="F81" s="53">
        <f t="shared" ref="F81:N83" si="11">F82</f>
        <v>280</v>
      </c>
      <c r="G81" s="53">
        <f t="shared" si="11"/>
        <v>0</v>
      </c>
      <c r="H81" s="53">
        <f t="shared" si="11"/>
        <v>280</v>
      </c>
      <c r="I81" s="54">
        <f t="shared" si="11"/>
        <v>0</v>
      </c>
      <c r="J81" s="53">
        <f>J82</f>
        <v>0</v>
      </c>
      <c r="K81" s="54">
        <f t="shared" si="11"/>
        <v>0</v>
      </c>
      <c r="L81" s="53">
        <f t="shared" si="11"/>
        <v>280</v>
      </c>
      <c r="M81" s="53">
        <f t="shared" si="11"/>
        <v>0</v>
      </c>
      <c r="N81" s="53">
        <f t="shared" si="11"/>
        <v>280</v>
      </c>
      <c r="O81" s="95"/>
      <c r="P81" s="95"/>
    </row>
    <row r="82" spans="1:17" ht="64.150000000000006" customHeight="1" x14ac:dyDescent="0.2">
      <c r="A82" s="42"/>
      <c r="B82" s="43" t="s">
        <v>110</v>
      </c>
      <c r="C82" s="44" t="s">
        <v>111</v>
      </c>
      <c r="D82" s="45" t="s">
        <v>26</v>
      </c>
      <c r="E82" s="105"/>
      <c r="F82" s="46">
        <f t="shared" si="11"/>
        <v>280</v>
      </c>
      <c r="G82" s="46">
        <f t="shared" si="11"/>
        <v>0</v>
      </c>
      <c r="H82" s="46">
        <f t="shared" si="11"/>
        <v>280</v>
      </c>
      <c r="I82" s="47">
        <f t="shared" si="11"/>
        <v>0</v>
      </c>
      <c r="J82" s="88"/>
      <c r="K82" s="47">
        <f t="shared" si="11"/>
        <v>0</v>
      </c>
      <c r="L82" s="46">
        <f t="shared" si="11"/>
        <v>280</v>
      </c>
      <c r="M82" s="46">
        <f t="shared" si="11"/>
        <v>0</v>
      </c>
      <c r="N82" s="46">
        <f t="shared" si="11"/>
        <v>280</v>
      </c>
      <c r="O82" s="94"/>
      <c r="P82" s="94"/>
    </row>
    <row r="83" spans="1:17" ht="36.6" customHeight="1" x14ac:dyDescent="0.2">
      <c r="A83" s="42"/>
      <c r="B83" s="43" t="s">
        <v>112</v>
      </c>
      <c r="C83" s="44" t="s">
        <v>113</v>
      </c>
      <c r="D83" s="45" t="s">
        <v>26</v>
      </c>
      <c r="E83" s="105"/>
      <c r="F83" s="46">
        <f t="shared" si="11"/>
        <v>280</v>
      </c>
      <c r="G83" s="46">
        <f t="shared" si="11"/>
        <v>0</v>
      </c>
      <c r="H83" s="46">
        <f t="shared" si="11"/>
        <v>280</v>
      </c>
      <c r="I83" s="47">
        <f t="shared" si="11"/>
        <v>0</v>
      </c>
      <c r="J83" s="88"/>
      <c r="K83" s="47">
        <f t="shared" si="11"/>
        <v>0</v>
      </c>
      <c r="L83" s="46">
        <f t="shared" si="11"/>
        <v>280</v>
      </c>
      <c r="M83" s="46">
        <f t="shared" si="11"/>
        <v>0</v>
      </c>
      <c r="N83" s="46">
        <f t="shared" si="11"/>
        <v>280</v>
      </c>
      <c r="O83" s="94"/>
      <c r="P83" s="94"/>
    </row>
    <row r="84" spans="1:17" ht="31.5" x14ac:dyDescent="0.2">
      <c r="A84" s="42"/>
      <c r="B84" s="43" t="s">
        <v>74</v>
      </c>
      <c r="C84" s="44" t="s">
        <v>113</v>
      </c>
      <c r="D84" s="45" t="s">
        <v>75</v>
      </c>
      <c r="E84" s="105"/>
      <c r="F84" s="46">
        <v>280</v>
      </c>
      <c r="G84" s="46"/>
      <c r="H84" s="46">
        <v>280</v>
      </c>
      <c r="I84" s="47">
        <v>0</v>
      </c>
      <c r="J84" s="88"/>
      <c r="K84" s="47">
        <v>0</v>
      </c>
      <c r="L84" s="46">
        <v>280</v>
      </c>
      <c r="M84" s="46"/>
      <c r="N84" s="46">
        <v>280</v>
      </c>
      <c r="O84" s="94"/>
      <c r="P84" s="94"/>
    </row>
    <row r="85" spans="1:17" ht="47.25" x14ac:dyDescent="0.2">
      <c r="A85" s="19" t="s">
        <v>114</v>
      </c>
      <c r="B85" s="20" t="s">
        <v>115</v>
      </c>
      <c r="C85" s="21" t="s">
        <v>116</v>
      </c>
      <c r="D85" s="22" t="s">
        <v>26</v>
      </c>
      <c r="E85" s="104"/>
      <c r="F85" s="23">
        <f t="shared" ref="F85:N85" si="12">F86+F92+F104</f>
        <v>27807</v>
      </c>
      <c r="G85" s="23">
        <f t="shared" si="12"/>
        <v>15661.6</v>
      </c>
      <c r="H85" s="23">
        <f t="shared" si="12"/>
        <v>43468.600000000006</v>
      </c>
      <c r="I85" s="24">
        <f t="shared" si="12"/>
        <v>7971.1</v>
      </c>
      <c r="J85" s="23">
        <f t="shared" si="12"/>
        <v>43692.5</v>
      </c>
      <c r="K85" s="24">
        <f t="shared" si="12"/>
        <v>51663.6</v>
      </c>
      <c r="L85" s="23">
        <f t="shared" si="12"/>
        <v>35778.1</v>
      </c>
      <c r="M85" s="23">
        <f t="shared" si="12"/>
        <v>59354.1</v>
      </c>
      <c r="N85" s="23">
        <f t="shared" si="12"/>
        <v>95132.2</v>
      </c>
      <c r="O85" s="93"/>
      <c r="P85" s="93"/>
      <c r="Q85" s="25"/>
    </row>
    <row r="86" spans="1:17" ht="33.6" customHeight="1" x14ac:dyDescent="0.2">
      <c r="A86" s="49"/>
      <c r="B86" s="50" t="s">
        <v>117</v>
      </c>
      <c r="C86" s="51" t="s">
        <v>118</v>
      </c>
      <c r="D86" s="52" t="s">
        <v>26</v>
      </c>
      <c r="E86" s="106"/>
      <c r="F86" s="53">
        <f t="shared" ref="F86:N86" si="13">F87</f>
        <v>419.6</v>
      </c>
      <c r="G86" s="53">
        <f t="shared" si="13"/>
        <v>735.3</v>
      </c>
      <c r="H86" s="53">
        <f t="shared" si="13"/>
        <v>1154.9000000000001</v>
      </c>
      <c r="I86" s="54">
        <f t="shared" si="13"/>
        <v>7971.1</v>
      </c>
      <c r="J86" s="53">
        <f t="shared" si="13"/>
        <v>0</v>
      </c>
      <c r="K86" s="54">
        <f t="shared" si="13"/>
        <v>7971.1</v>
      </c>
      <c r="L86" s="53">
        <f t="shared" si="13"/>
        <v>8390.7000000000007</v>
      </c>
      <c r="M86" s="53">
        <f t="shared" si="13"/>
        <v>735.3</v>
      </c>
      <c r="N86" s="53">
        <f t="shared" si="13"/>
        <v>9126</v>
      </c>
      <c r="O86" s="95"/>
      <c r="P86" s="95"/>
    </row>
    <row r="87" spans="1:17" ht="47.25" x14ac:dyDescent="0.2">
      <c r="A87" s="42"/>
      <c r="B87" s="43" t="s">
        <v>119</v>
      </c>
      <c r="C87" s="44" t="s">
        <v>120</v>
      </c>
      <c r="D87" s="45" t="s">
        <v>26</v>
      </c>
      <c r="E87" s="105"/>
      <c r="F87" s="46">
        <f>F90</f>
        <v>419.6</v>
      </c>
      <c r="G87" s="46">
        <f>G90+G88</f>
        <v>735.3</v>
      </c>
      <c r="H87" s="46">
        <f>SUM(H88+H90)</f>
        <v>1154.9000000000001</v>
      </c>
      <c r="I87" s="47">
        <f>I90</f>
        <v>7971.1</v>
      </c>
      <c r="J87" s="46">
        <f>J90+J88</f>
        <v>0</v>
      </c>
      <c r="K87" s="47">
        <f>K90</f>
        <v>7971.1</v>
      </c>
      <c r="L87" s="46">
        <f>L90</f>
        <v>8390.7000000000007</v>
      </c>
      <c r="M87" s="46">
        <f>SUM(M88)+M90</f>
        <v>735.3</v>
      </c>
      <c r="N87" s="46">
        <f>SUM(N88+N90)</f>
        <v>9126</v>
      </c>
      <c r="O87" s="94"/>
      <c r="P87" s="94"/>
    </row>
    <row r="88" spans="1:17" ht="31.5" x14ac:dyDescent="0.2">
      <c r="A88" s="42"/>
      <c r="B88" s="123" t="s">
        <v>121</v>
      </c>
      <c r="C88" s="44" t="s">
        <v>122</v>
      </c>
      <c r="D88" s="45"/>
      <c r="E88" s="105"/>
      <c r="F88" s="46"/>
      <c r="G88" s="46">
        <f>SUM(F89)+G89</f>
        <v>735.3</v>
      </c>
      <c r="H88" s="46">
        <f>SUM(G88)</f>
        <v>735.3</v>
      </c>
      <c r="I88" s="47"/>
      <c r="J88" s="88"/>
      <c r="K88" s="47"/>
      <c r="L88" s="46"/>
      <c r="M88" s="46">
        <f>SUM(G88)</f>
        <v>735.3</v>
      </c>
      <c r="N88" s="46">
        <f>SUM(M88)</f>
        <v>735.3</v>
      </c>
      <c r="O88" s="94"/>
      <c r="P88" s="94"/>
    </row>
    <row r="89" spans="1:17" ht="31.5" x14ac:dyDescent="0.2">
      <c r="A89" s="42"/>
      <c r="B89" s="43" t="s">
        <v>35</v>
      </c>
      <c r="C89" s="44" t="s">
        <v>122</v>
      </c>
      <c r="D89" s="45" t="s">
        <v>36</v>
      </c>
      <c r="E89" s="105"/>
      <c r="F89" s="46"/>
      <c r="G89" s="46">
        <f>145.3+590</f>
        <v>735.3</v>
      </c>
      <c r="H89" s="46">
        <f>SUM(G89)</f>
        <v>735.3</v>
      </c>
      <c r="I89" s="47"/>
      <c r="J89" s="88"/>
      <c r="K89" s="47"/>
      <c r="L89" s="46"/>
      <c r="M89" s="46">
        <f>SUM(G89)</f>
        <v>735.3</v>
      </c>
      <c r="N89" s="46">
        <f>SUM(M89)</f>
        <v>735.3</v>
      </c>
      <c r="O89" s="94"/>
      <c r="P89" s="94"/>
    </row>
    <row r="90" spans="1:17" ht="36.6" customHeight="1" x14ac:dyDescent="0.2">
      <c r="A90" s="42"/>
      <c r="B90" s="43" t="s">
        <v>123</v>
      </c>
      <c r="C90" s="44" t="s">
        <v>124</v>
      </c>
      <c r="D90" s="45" t="s">
        <v>26</v>
      </c>
      <c r="E90" s="105"/>
      <c r="F90" s="46">
        <f>F91</f>
        <v>419.6</v>
      </c>
      <c r="G90" s="46">
        <f>G91</f>
        <v>0</v>
      </c>
      <c r="H90" s="46">
        <f>H91</f>
        <v>419.6</v>
      </c>
      <c r="I90" s="47">
        <f>I91</f>
        <v>7971.1</v>
      </c>
      <c r="J90" s="88">
        <f>SUM(J91)</f>
        <v>0</v>
      </c>
      <c r="K90" s="47">
        <f>K91</f>
        <v>7971.1</v>
      </c>
      <c r="L90" s="46">
        <f>L91</f>
        <v>8390.7000000000007</v>
      </c>
      <c r="M90" s="46">
        <f>M91</f>
        <v>0</v>
      </c>
      <c r="N90" s="46">
        <f>N91</f>
        <v>8390.7000000000007</v>
      </c>
      <c r="O90" s="94"/>
      <c r="P90" s="94"/>
    </row>
    <row r="91" spans="1:17" ht="31.5" x14ac:dyDescent="0.2">
      <c r="A91" s="42"/>
      <c r="B91" s="43" t="s">
        <v>35</v>
      </c>
      <c r="C91" s="44" t="s">
        <v>124</v>
      </c>
      <c r="D91" s="45" t="s">
        <v>36</v>
      </c>
      <c r="E91" s="105"/>
      <c r="F91" s="46">
        <v>419.6</v>
      </c>
      <c r="G91" s="46"/>
      <c r="H91" s="46">
        <f>419.6+G91</f>
        <v>419.6</v>
      </c>
      <c r="I91" s="47">
        <v>7971.1</v>
      </c>
      <c r="J91" s="88"/>
      <c r="K91" s="47">
        <f>7971.1+J91</f>
        <v>7971.1</v>
      </c>
      <c r="L91" s="46">
        <f>419.6+I91</f>
        <v>8390.7000000000007</v>
      </c>
      <c r="M91" s="46">
        <f>SUM(G91+J91)</f>
        <v>0</v>
      </c>
      <c r="N91" s="46">
        <f>419.6+K91+G91</f>
        <v>8390.7000000000007</v>
      </c>
      <c r="O91" s="94"/>
      <c r="P91" s="94"/>
    </row>
    <row r="92" spans="1:17" ht="35.450000000000003" customHeight="1" x14ac:dyDescent="0.2">
      <c r="A92" s="49"/>
      <c r="B92" s="50" t="s">
        <v>125</v>
      </c>
      <c r="C92" s="51" t="s">
        <v>126</v>
      </c>
      <c r="D92" s="52" t="s">
        <v>26</v>
      </c>
      <c r="E92" s="106"/>
      <c r="F92" s="53">
        <f t="shared" ref="F92:N92" si="14">F93+F101</f>
        <v>13010</v>
      </c>
      <c r="G92" s="53">
        <f>G93+G101</f>
        <v>13201.7</v>
      </c>
      <c r="H92" s="53">
        <f>H93+H101</f>
        <v>26211.7</v>
      </c>
      <c r="I92" s="54">
        <f t="shared" si="14"/>
        <v>0</v>
      </c>
      <c r="J92" s="53">
        <f t="shared" si="14"/>
        <v>43692.5</v>
      </c>
      <c r="K92" s="54">
        <f t="shared" si="14"/>
        <v>43692.5</v>
      </c>
      <c r="L92" s="53">
        <f t="shared" si="14"/>
        <v>13010</v>
      </c>
      <c r="M92" s="53">
        <f t="shared" si="14"/>
        <v>56894.2</v>
      </c>
      <c r="N92" s="53">
        <f t="shared" si="14"/>
        <v>69904.2</v>
      </c>
      <c r="O92" s="95"/>
      <c r="P92" s="95"/>
    </row>
    <row r="93" spans="1:17" ht="31.5" x14ac:dyDescent="0.2">
      <c r="A93" s="42"/>
      <c r="B93" s="43" t="s">
        <v>127</v>
      </c>
      <c r="C93" s="44" t="s">
        <v>128</v>
      </c>
      <c r="D93" s="45" t="s">
        <v>26</v>
      </c>
      <c r="E93" s="105"/>
      <c r="F93" s="47">
        <f>F94+F99+F97</f>
        <v>6900</v>
      </c>
      <c r="G93" s="47">
        <f t="shared" ref="G93:N93" si="15">G94+G99+G97</f>
        <v>13201.7</v>
      </c>
      <c r="H93" s="47">
        <f t="shared" si="15"/>
        <v>20101.7</v>
      </c>
      <c r="I93" s="47">
        <f t="shared" si="15"/>
        <v>0</v>
      </c>
      <c r="J93" s="47">
        <f t="shared" si="15"/>
        <v>43692.5</v>
      </c>
      <c r="K93" s="47">
        <f t="shared" si="15"/>
        <v>43692.5</v>
      </c>
      <c r="L93" s="47">
        <f t="shared" si="15"/>
        <v>6900</v>
      </c>
      <c r="M93" s="47">
        <f t="shared" si="15"/>
        <v>56894.2</v>
      </c>
      <c r="N93" s="47">
        <f t="shared" si="15"/>
        <v>63794.2</v>
      </c>
      <c r="O93" s="94"/>
      <c r="P93" s="94"/>
    </row>
    <row r="94" spans="1:17" ht="49.15" customHeight="1" x14ac:dyDescent="0.2">
      <c r="A94" s="42"/>
      <c r="B94" s="43" t="s">
        <v>129</v>
      </c>
      <c r="C94" s="44" t="s">
        <v>130</v>
      </c>
      <c r="D94" s="45" t="s">
        <v>26</v>
      </c>
      <c r="E94" s="105"/>
      <c r="F94" s="46">
        <f>F95+F96</f>
        <v>6600</v>
      </c>
      <c r="G94" s="46">
        <f>G95+G96</f>
        <v>13201.7</v>
      </c>
      <c r="H94" s="46">
        <f>H95+H96</f>
        <v>19801.7</v>
      </c>
      <c r="I94" s="47">
        <f>I95+I96</f>
        <v>0</v>
      </c>
      <c r="J94" s="88">
        <f>SUM(J95+J96)</f>
        <v>17036</v>
      </c>
      <c r="K94" s="47">
        <f>K95+K96</f>
        <v>17036</v>
      </c>
      <c r="L94" s="46">
        <f>L95+L96</f>
        <v>6600</v>
      </c>
      <c r="M94" s="46">
        <f>M95+M96</f>
        <v>30237.7</v>
      </c>
      <c r="N94" s="46">
        <f>N95+N96</f>
        <v>36837.699999999997</v>
      </c>
      <c r="O94" s="94"/>
      <c r="P94" s="94"/>
    </row>
    <row r="95" spans="1:17" ht="31.5" x14ac:dyDescent="0.2">
      <c r="A95" s="42"/>
      <c r="B95" s="43" t="s">
        <v>35</v>
      </c>
      <c r="C95" s="44" t="s">
        <v>130</v>
      </c>
      <c r="D95" s="45" t="s">
        <v>36</v>
      </c>
      <c r="E95" s="105"/>
      <c r="F95" s="56">
        <f>6600-5000</f>
        <v>1600</v>
      </c>
      <c r="G95" s="56">
        <f>2951.6+1423.4+378.3+7206.7-558.9+1171.2+200+600-770.6+5000</f>
        <v>17601.7</v>
      </c>
      <c r="H95" s="56">
        <f>6600-5000+G95</f>
        <v>19201.7</v>
      </c>
      <c r="I95" s="47">
        <v>0</v>
      </c>
      <c r="J95" s="111">
        <f>26656.5-26656.5</f>
        <v>0</v>
      </c>
      <c r="K95" s="111">
        <f>SUM(J95)</f>
        <v>0</v>
      </c>
      <c r="L95" s="56">
        <f>6600-5000</f>
        <v>1600</v>
      </c>
      <c r="M95" s="56">
        <f>SUM(J95)+G95</f>
        <v>17601.7</v>
      </c>
      <c r="N95" s="56">
        <f>6600-5000+M95</f>
        <v>19201.7</v>
      </c>
      <c r="O95" s="94"/>
      <c r="P95" s="94"/>
    </row>
    <row r="96" spans="1:17" ht="31.5" x14ac:dyDescent="0.2">
      <c r="A96" s="42"/>
      <c r="B96" s="43" t="s">
        <v>131</v>
      </c>
      <c r="C96" s="44" t="s">
        <v>130</v>
      </c>
      <c r="D96" s="45" t="s">
        <v>132</v>
      </c>
      <c r="E96" s="105"/>
      <c r="F96" s="56">
        <v>5000</v>
      </c>
      <c r="G96" s="56">
        <f>600-5000</f>
        <v>-4400</v>
      </c>
      <c r="H96" s="56">
        <f>SUM(F96:G96)</f>
        <v>600</v>
      </c>
      <c r="I96" s="47">
        <v>0</v>
      </c>
      <c r="J96" s="46">
        <v>17036</v>
      </c>
      <c r="K96" s="111">
        <f>SUM(J96)</f>
        <v>17036</v>
      </c>
      <c r="L96" s="56">
        <v>5000</v>
      </c>
      <c r="M96" s="56">
        <f>SUM(J96)+G96</f>
        <v>12636</v>
      </c>
      <c r="N96" s="56">
        <f>5000+M96</f>
        <v>17636</v>
      </c>
      <c r="O96" s="94"/>
      <c r="P96" s="94"/>
    </row>
    <row r="97" spans="1:17" ht="94.5" x14ac:dyDescent="0.2">
      <c r="A97" s="42"/>
      <c r="B97" s="43" t="s">
        <v>133</v>
      </c>
      <c r="C97" s="44" t="s">
        <v>134</v>
      </c>
      <c r="D97" s="45"/>
      <c r="E97" s="105"/>
      <c r="F97" s="132">
        <f>F98</f>
        <v>0</v>
      </c>
      <c r="G97" s="132">
        <f t="shared" ref="G97:N97" si="16">G98</f>
        <v>0</v>
      </c>
      <c r="H97" s="132">
        <f t="shared" si="16"/>
        <v>0</v>
      </c>
      <c r="I97" s="132">
        <f t="shared" si="16"/>
        <v>0</v>
      </c>
      <c r="J97" s="132">
        <f t="shared" si="16"/>
        <v>26656.5</v>
      </c>
      <c r="K97" s="132">
        <f t="shared" si="16"/>
        <v>26656.5</v>
      </c>
      <c r="L97" s="132">
        <f t="shared" si="16"/>
        <v>0</v>
      </c>
      <c r="M97" s="132">
        <f t="shared" si="16"/>
        <v>26656.5</v>
      </c>
      <c r="N97" s="132">
        <f t="shared" si="16"/>
        <v>26656.5</v>
      </c>
      <c r="O97" s="94"/>
      <c r="P97" s="94"/>
    </row>
    <row r="98" spans="1:17" ht="34.15" customHeight="1" x14ac:dyDescent="0.2">
      <c r="A98" s="42"/>
      <c r="B98" s="43" t="s">
        <v>35</v>
      </c>
      <c r="C98" s="44" t="s">
        <v>134</v>
      </c>
      <c r="D98" s="45" t="s">
        <v>36</v>
      </c>
      <c r="E98" s="105"/>
      <c r="F98" s="56"/>
      <c r="G98" s="56"/>
      <c r="H98" s="56"/>
      <c r="I98" s="47"/>
      <c r="J98" s="88">
        <f>26656.5</f>
        <v>26656.5</v>
      </c>
      <c r="K98" s="111">
        <f>SUM(I98:J98)</f>
        <v>26656.5</v>
      </c>
      <c r="L98" s="56">
        <f>F98+I98</f>
        <v>0</v>
      </c>
      <c r="M98" s="56">
        <f>G98+J98</f>
        <v>26656.5</v>
      </c>
      <c r="N98" s="56">
        <f>H98+K98</f>
        <v>26656.5</v>
      </c>
      <c r="O98" s="94"/>
      <c r="P98" s="94"/>
    </row>
    <row r="99" spans="1:17" ht="63" x14ac:dyDescent="0.2">
      <c r="A99" s="42"/>
      <c r="B99" s="43" t="s">
        <v>135</v>
      </c>
      <c r="C99" s="44" t="s">
        <v>136</v>
      </c>
      <c r="D99" s="45" t="s">
        <v>26</v>
      </c>
      <c r="E99" s="105"/>
      <c r="F99" s="46">
        <f>F100</f>
        <v>300</v>
      </c>
      <c r="G99" s="46">
        <f>G100</f>
        <v>0</v>
      </c>
      <c r="H99" s="46">
        <f>H100</f>
        <v>300</v>
      </c>
      <c r="I99" s="47">
        <f>I100</f>
        <v>0</v>
      </c>
      <c r="J99" s="88"/>
      <c r="K99" s="47">
        <f>K100</f>
        <v>0</v>
      </c>
      <c r="L99" s="46">
        <f>L100</f>
        <v>300</v>
      </c>
      <c r="M99" s="46">
        <f>M100</f>
        <v>0</v>
      </c>
      <c r="N99" s="46">
        <f>N100</f>
        <v>300</v>
      </c>
      <c r="O99" s="94"/>
      <c r="P99" s="94"/>
    </row>
    <row r="100" spans="1:17" ht="31.5" x14ac:dyDescent="0.2">
      <c r="A100" s="42"/>
      <c r="B100" s="43" t="s">
        <v>35</v>
      </c>
      <c r="C100" s="44" t="s">
        <v>136</v>
      </c>
      <c r="D100" s="45" t="s">
        <v>36</v>
      </c>
      <c r="E100" s="105"/>
      <c r="F100" s="46">
        <v>300</v>
      </c>
      <c r="G100" s="46"/>
      <c r="H100" s="46">
        <v>300</v>
      </c>
      <c r="I100" s="47">
        <v>0</v>
      </c>
      <c r="J100" s="88"/>
      <c r="K100" s="47">
        <v>0</v>
      </c>
      <c r="L100" s="46">
        <v>300</v>
      </c>
      <c r="M100" s="46"/>
      <c r="N100" s="46">
        <v>300</v>
      </c>
      <c r="O100" s="94"/>
      <c r="P100" s="94"/>
    </row>
    <row r="101" spans="1:17" ht="31.5" x14ac:dyDescent="0.2">
      <c r="A101" s="42"/>
      <c r="B101" s="43" t="s">
        <v>137</v>
      </c>
      <c r="C101" s="44" t="s">
        <v>138</v>
      </c>
      <c r="D101" s="45" t="s">
        <v>26</v>
      </c>
      <c r="E101" s="105"/>
      <c r="F101" s="46">
        <f t="shared" ref="F101:N102" si="17">F102</f>
        <v>6110</v>
      </c>
      <c r="G101" s="46">
        <f t="shared" si="17"/>
        <v>0</v>
      </c>
      <c r="H101" s="46">
        <f t="shared" si="17"/>
        <v>6110</v>
      </c>
      <c r="I101" s="47">
        <f t="shared" si="17"/>
        <v>0</v>
      </c>
      <c r="J101" s="88"/>
      <c r="K101" s="47">
        <f t="shared" si="17"/>
        <v>0</v>
      </c>
      <c r="L101" s="46">
        <f t="shared" si="17"/>
        <v>6110</v>
      </c>
      <c r="M101" s="46">
        <f t="shared" si="17"/>
        <v>0</v>
      </c>
      <c r="N101" s="46">
        <f t="shared" si="17"/>
        <v>6110</v>
      </c>
      <c r="O101" s="94"/>
      <c r="P101" s="94"/>
    </row>
    <row r="102" spans="1:17" ht="63" x14ac:dyDescent="0.2">
      <c r="A102" s="42"/>
      <c r="B102" s="43" t="s">
        <v>135</v>
      </c>
      <c r="C102" s="44" t="s">
        <v>139</v>
      </c>
      <c r="D102" s="45" t="s">
        <v>26</v>
      </c>
      <c r="E102" s="105"/>
      <c r="F102" s="46">
        <f t="shared" si="17"/>
        <v>6110</v>
      </c>
      <c r="G102" s="46">
        <f t="shared" si="17"/>
        <v>0</v>
      </c>
      <c r="H102" s="46">
        <f t="shared" si="17"/>
        <v>6110</v>
      </c>
      <c r="I102" s="47">
        <f t="shared" si="17"/>
        <v>0</v>
      </c>
      <c r="J102" s="88"/>
      <c r="K102" s="47">
        <f t="shared" si="17"/>
        <v>0</v>
      </c>
      <c r="L102" s="46">
        <f t="shared" si="17"/>
        <v>6110</v>
      </c>
      <c r="M102" s="46">
        <f t="shared" si="17"/>
        <v>0</v>
      </c>
      <c r="N102" s="46">
        <f t="shared" si="17"/>
        <v>6110</v>
      </c>
      <c r="O102" s="94"/>
      <c r="P102" s="94"/>
    </row>
    <row r="103" spans="1:17" ht="31.5" x14ac:dyDescent="0.2">
      <c r="A103" s="42"/>
      <c r="B103" s="43" t="s">
        <v>35</v>
      </c>
      <c r="C103" s="44" t="s">
        <v>139</v>
      </c>
      <c r="D103" s="45" t="s">
        <v>36</v>
      </c>
      <c r="E103" s="105"/>
      <c r="F103" s="56">
        <f>4810+1300</f>
        <v>6110</v>
      </c>
      <c r="G103" s="56"/>
      <c r="H103" s="56">
        <f>4810+1300</f>
        <v>6110</v>
      </c>
      <c r="I103" s="47">
        <v>0</v>
      </c>
      <c r="J103" s="111"/>
      <c r="K103" s="47">
        <v>0</v>
      </c>
      <c r="L103" s="56">
        <f>4810+1300</f>
        <v>6110</v>
      </c>
      <c r="M103" s="56"/>
      <c r="N103" s="56">
        <f>4810+1300</f>
        <v>6110</v>
      </c>
      <c r="O103" s="94"/>
      <c r="P103" s="94"/>
    </row>
    <row r="104" spans="1:17" ht="15.75" x14ac:dyDescent="0.2">
      <c r="A104" s="49"/>
      <c r="B104" s="50" t="s">
        <v>140</v>
      </c>
      <c r="C104" s="51" t="s">
        <v>141</v>
      </c>
      <c r="D104" s="52" t="s">
        <v>26</v>
      </c>
      <c r="E104" s="106"/>
      <c r="F104" s="53">
        <f t="shared" ref="F104:L104" si="18">F105+F112</f>
        <v>14377.4</v>
      </c>
      <c r="G104" s="53">
        <f>G105+G112+G109+G115</f>
        <v>1724.6</v>
      </c>
      <c r="H104" s="53">
        <f>H105+H112+H109+H115</f>
        <v>16102</v>
      </c>
      <c r="I104" s="54">
        <f t="shared" si="18"/>
        <v>0</v>
      </c>
      <c r="J104" s="53">
        <f t="shared" si="18"/>
        <v>0</v>
      </c>
      <c r="K104" s="54">
        <f t="shared" si="18"/>
        <v>0</v>
      </c>
      <c r="L104" s="53">
        <f t="shared" si="18"/>
        <v>14377.4</v>
      </c>
      <c r="M104" s="53">
        <f>M105+M112+M109+M115</f>
        <v>1724.6</v>
      </c>
      <c r="N104" s="53">
        <f>N105+N112+N109+N115</f>
        <v>16102</v>
      </c>
      <c r="O104" s="95"/>
      <c r="P104" s="95"/>
      <c r="Q104" s="55"/>
    </row>
    <row r="105" spans="1:17" ht="47.25" x14ac:dyDescent="0.2">
      <c r="A105" s="42"/>
      <c r="B105" s="43" t="s">
        <v>142</v>
      </c>
      <c r="C105" s="44" t="s">
        <v>143</v>
      </c>
      <c r="D105" s="45" t="s">
        <v>26</v>
      </c>
      <c r="E105" s="105"/>
      <c r="F105" s="46">
        <f>F106</f>
        <v>8104</v>
      </c>
      <c r="G105" s="46">
        <f>G106</f>
        <v>54.6</v>
      </c>
      <c r="H105" s="46">
        <f>H106</f>
        <v>8158.5999999999995</v>
      </c>
      <c r="I105" s="47">
        <f>I106</f>
        <v>0</v>
      </c>
      <c r="J105" s="88"/>
      <c r="K105" s="47">
        <f>K106</f>
        <v>0</v>
      </c>
      <c r="L105" s="46">
        <f>L106</f>
        <v>8104</v>
      </c>
      <c r="M105" s="46">
        <f>M106</f>
        <v>54.6</v>
      </c>
      <c r="N105" s="46">
        <f>N106</f>
        <v>8158.5999999999995</v>
      </c>
      <c r="O105" s="94"/>
      <c r="P105" s="94"/>
    </row>
    <row r="106" spans="1:17" ht="31.5" x14ac:dyDescent="0.2">
      <c r="A106" s="42"/>
      <c r="B106" s="43" t="s">
        <v>39</v>
      </c>
      <c r="C106" s="44" t="s">
        <v>144</v>
      </c>
      <c r="D106" s="45" t="s">
        <v>26</v>
      </c>
      <c r="E106" s="105"/>
      <c r="F106" s="46">
        <f>F107+F108</f>
        <v>8104</v>
      </c>
      <c r="G106" s="46">
        <f>G107+G108</f>
        <v>54.6</v>
      </c>
      <c r="H106" s="46">
        <f>H107+H108</f>
        <v>8158.5999999999995</v>
      </c>
      <c r="I106" s="47">
        <f>I107+I108</f>
        <v>0</v>
      </c>
      <c r="J106" s="88"/>
      <c r="K106" s="47">
        <f>K107+K108</f>
        <v>0</v>
      </c>
      <c r="L106" s="46">
        <f>L107+L108</f>
        <v>8104</v>
      </c>
      <c r="M106" s="46">
        <f>M107+M108</f>
        <v>54.6</v>
      </c>
      <c r="N106" s="46">
        <f>N107+N108</f>
        <v>8158.5999999999995</v>
      </c>
      <c r="O106" s="94"/>
      <c r="P106" s="94"/>
    </row>
    <row r="107" spans="1:17" ht="64.900000000000006" customHeight="1" x14ac:dyDescent="0.2">
      <c r="A107" s="42"/>
      <c r="B107" s="43" t="s">
        <v>31</v>
      </c>
      <c r="C107" s="44" t="s">
        <v>144</v>
      </c>
      <c r="D107" s="45" t="s">
        <v>32</v>
      </c>
      <c r="E107" s="105"/>
      <c r="F107" s="46">
        <v>7905.2</v>
      </c>
      <c r="G107" s="46"/>
      <c r="H107" s="46">
        <v>7905.2</v>
      </c>
      <c r="I107" s="47">
        <v>0</v>
      </c>
      <c r="J107" s="88"/>
      <c r="K107" s="47">
        <v>0</v>
      </c>
      <c r="L107" s="46">
        <v>7905.2</v>
      </c>
      <c r="M107" s="46"/>
      <c r="N107" s="46">
        <v>7905.2</v>
      </c>
      <c r="O107" s="94"/>
      <c r="P107" s="94"/>
    </row>
    <row r="108" spans="1:17" ht="31.5" x14ac:dyDescent="0.2">
      <c r="A108" s="42"/>
      <c r="B108" s="43" t="s">
        <v>35</v>
      </c>
      <c r="C108" s="44" t="s">
        <v>144</v>
      </c>
      <c r="D108" s="45" t="s">
        <v>36</v>
      </c>
      <c r="E108" s="105"/>
      <c r="F108" s="46">
        <v>198.8</v>
      </c>
      <c r="G108" s="46">
        <v>54.6</v>
      </c>
      <c r="H108" s="46">
        <f>198.8+G108</f>
        <v>253.4</v>
      </c>
      <c r="I108" s="47">
        <v>0</v>
      </c>
      <c r="J108" s="88"/>
      <c r="K108" s="47">
        <v>0</v>
      </c>
      <c r="L108" s="46">
        <v>198.8</v>
      </c>
      <c r="M108" s="46">
        <f>SUM(G108)</f>
        <v>54.6</v>
      </c>
      <c r="N108" s="46">
        <f>198.8+M108</f>
        <v>253.4</v>
      </c>
      <c r="O108" s="94"/>
      <c r="P108" s="94"/>
    </row>
    <row r="109" spans="1:17" ht="15.75" x14ac:dyDescent="0.2">
      <c r="A109" s="42"/>
      <c r="B109" s="43" t="s">
        <v>145</v>
      </c>
      <c r="C109" s="44" t="s">
        <v>146</v>
      </c>
      <c r="D109" s="45"/>
      <c r="E109" s="105"/>
      <c r="F109" s="46"/>
      <c r="G109" s="46">
        <v>600</v>
      </c>
      <c r="H109" s="46">
        <f>SUM(G109)</f>
        <v>600</v>
      </c>
      <c r="I109" s="47"/>
      <c r="J109" s="88"/>
      <c r="K109" s="47"/>
      <c r="L109" s="46"/>
      <c r="M109" s="46">
        <f>SUM(G109)</f>
        <v>600</v>
      </c>
      <c r="N109" s="46">
        <f>SUM(H109)</f>
        <v>600</v>
      </c>
      <c r="O109" s="94"/>
      <c r="P109" s="94"/>
    </row>
    <row r="110" spans="1:17" ht="15.75" x14ac:dyDescent="0.2">
      <c r="A110" s="42"/>
      <c r="B110" s="43" t="s">
        <v>147</v>
      </c>
      <c r="C110" s="44" t="s">
        <v>148</v>
      </c>
      <c r="D110" s="45"/>
      <c r="E110" s="105"/>
      <c r="F110" s="46"/>
      <c r="G110" s="46">
        <v>600</v>
      </c>
      <c r="H110" s="46">
        <f>SUM(G110)</f>
        <v>600</v>
      </c>
      <c r="I110" s="47"/>
      <c r="J110" s="88"/>
      <c r="K110" s="47"/>
      <c r="L110" s="46"/>
      <c r="M110" s="46">
        <f>SUM(G110)</f>
        <v>600</v>
      </c>
      <c r="N110" s="46">
        <f>SUM(H110)</f>
        <v>600</v>
      </c>
      <c r="O110" s="94"/>
      <c r="P110" s="94"/>
    </row>
    <row r="111" spans="1:17" ht="31.5" x14ac:dyDescent="0.2">
      <c r="A111" s="42"/>
      <c r="B111" s="43" t="s">
        <v>35</v>
      </c>
      <c r="C111" s="44" t="s">
        <v>148</v>
      </c>
      <c r="D111" s="45" t="s">
        <v>36</v>
      </c>
      <c r="E111" s="105"/>
      <c r="F111" s="46"/>
      <c r="G111" s="46">
        <v>600</v>
      </c>
      <c r="H111" s="46">
        <f>SUM(G111)</f>
        <v>600</v>
      </c>
      <c r="I111" s="47"/>
      <c r="J111" s="88"/>
      <c r="K111" s="47"/>
      <c r="L111" s="46"/>
      <c r="M111" s="46">
        <f>SUM(G111)</f>
        <v>600</v>
      </c>
      <c r="N111" s="46">
        <f>SUM(H111)</f>
        <v>600</v>
      </c>
      <c r="O111" s="94"/>
      <c r="P111" s="94"/>
    </row>
    <row r="112" spans="1:17" ht="47.25" x14ac:dyDescent="0.2">
      <c r="A112" s="42"/>
      <c r="B112" s="43" t="s">
        <v>149</v>
      </c>
      <c r="C112" s="44" t="s">
        <v>150</v>
      </c>
      <c r="D112" s="45" t="s">
        <v>26</v>
      </c>
      <c r="E112" s="105"/>
      <c r="F112" s="46">
        <f t="shared" ref="F112:N113" si="19">F113</f>
        <v>6273.4</v>
      </c>
      <c r="G112" s="46">
        <f t="shared" si="19"/>
        <v>0</v>
      </c>
      <c r="H112" s="46">
        <f t="shared" si="19"/>
        <v>6273.4</v>
      </c>
      <c r="I112" s="47">
        <f t="shared" si="19"/>
        <v>0</v>
      </c>
      <c r="J112" s="88"/>
      <c r="K112" s="47">
        <f t="shared" si="19"/>
        <v>0</v>
      </c>
      <c r="L112" s="46">
        <f t="shared" si="19"/>
        <v>6273.4</v>
      </c>
      <c r="M112" s="46">
        <f t="shared" si="19"/>
        <v>0</v>
      </c>
      <c r="N112" s="46">
        <f t="shared" si="19"/>
        <v>6273.4</v>
      </c>
      <c r="O112" s="94"/>
      <c r="P112" s="94"/>
    </row>
    <row r="113" spans="1:17" ht="31.5" x14ac:dyDescent="0.2">
      <c r="A113" s="42"/>
      <c r="B113" s="43" t="s">
        <v>39</v>
      </c>
      <c r="C113" s="44" t="s">
        <v>151</v>
      </c>
      <c r="D113" s="45" t="s">
        <v>26</v>
      </c>
      <c r="E113" s="105"/>
      <c r="F113" s="46">
        <f t="shared" si="19"/>
        <v>6273.4</v>
      </c>
      <c r="G113" s="46">
        <f t="shared" si="19"/>
        <v>0</v>
      </c>
      <c r="H113" s="46">
        <f t="shared" si="19"/>
        <v>6273.4</v>
      </c>
      <c r="I113" s="47">
        <f t="shared" si="19"/>
        <v>0</v>
      </c>
      <c r="J113" s="88"/>
      <c r="K113" s="47">
        <f t="shared" si="19"/>
        <v>0</v>
      </c>
      <c r="L113" s="46">
        <f t="shared" si="19"/>
        <v>6273.4</v>
      </c>
      <c r="M113" s="46">
        <f t="shared" si="19"/>
        <v>0</v>
      </c>
      <c r="N113" s="46">
        <f t="shared" si="19"/>
        <v>6273.4</v>
      </c>
      <c r="O113" s="94"/>
      <c r="P113" s="94"/>
    </row>
    <row r="114" spans="1:17" ht="31.5" x14ac:dyDescent="0.2">
      <c r="A114" s="42"/>
      <c r="B114" s="43" t="s">
        <v>74</v>
      </c>
      <c r="C114" s="44" t="s">
        <v>151</v>
      </c>
      <c r="D114" s="45" t="s">
        <v>75</v>
      </c>
      <c r="E114" s="105"/>
      <c r="F114" s="46">
        <v>6273.4</v>
      </c>
      <c r="G114" s="46"/>
      <c r="H114" s="46">
        <v>6273.4</v>
      </c>
      <c r="I114" s="47">
        <v>0</v>
      </c>
      <c r="J114" s="88"/>
      <c r="K114" s="47">
        <v>0</v>
      </c>
      <c r="L114" s="46">
        <v>6273.4</v>
      </c>
      <c r="M114" s="46"/>
      <c r="N114" s="46">
        <v>6273.4</v>
      </c>
      <c r="O114" s="94"/>
      <c r="P114" s="94"/>
    </row>
    <row r="115" spans="1:17" ht="31.5" x14ac:dyDescent="0.2">
      <c r="A115" s="42"/>
      <c r="B115" s="128" t="s">
        <v>152</v>
      </c>
      <c r="C115" s="44" t="s">
        <v>153</v>
      </c>
      <c r="D115" s="45"/>
      <c r="E115" s="105"/>
      <c r="F115" s="46"/>
      <c r="G115" s="46">
        <f>SUM(G117)</f>
        <v>1070</v>
      </c>
      <c r="H115" s="46">
        <f>SUM(G115)</f>
        <v>1070</v>
      </c>
      <c r="I115" s="47"/>
      <c r="J115" s="88"/>
      <c r="K115" s="47"/>
      <c r="L115" s="46"/>
      <c r="M115" s="46">
        <f t="shared" ref="M115:N117" si="20">SUM(G115)</f>
        <v>1070</v>
      </c>
      <c r="N115" s="46">
        <f t="shared" si="20"/>
        <v>1070</v>
      </c>
      <c r="O115" s="94"/>
      <c r="P115" s="94"/>
    </row>
    <row r="116" spans="1:17" ht="31.5" x14ac:dyDescent="0.2">
      <c r="A116" s="42"/>
      <c r="B116" s="43" t="s">
        <v>154</v>
      </c>
      <c r="C116" s="44" t="s">
        <v>155</v>
      </c>
      <c r="D116" s="45"/>
      <c r="E116" s="105"/>
      <c r="F116" s="46"/>
      <c r="G116" s="46">
        <v>1070</v>
      </c>
      <c r="H116" s="46">
        <f>SUM(G116)</f>
        <v>1070</v>
      </c>
      <c r="I116" s="47"/>
      <c r="J116" s="88"/>
      <c r="K116" s="47"/>
      <c r="L116" s="46"/>
      <c r="M116" s="46">
        <f t="shared" si="20"/>
        <v>1070</v>
      </c>
      <c r="N116" s="46">
        <f t="shared" si="20"/>
        <v>1070</v>
      </c>
      <c r="O116" s="94"/>
      <c r="P116" s="94"/>
    </row>
    <row r="117" spans="1:17" ht="31.5" x14ac:dyDescent="0.2">
      <c r="A117" s="42"/>
      <c r="B117" s="43" t="s">
        <v>131</v>
      </c>
      <c r="C117" s="44" t="s">
        <v>155</v>
      </c>
      <c r="D117" s="45" t="s">
        <v>132</v>
      </c>
      <c r="E117" s="105"/>
      <c r="F117" s="46"/>
      <c r="G117" s="46">
        <v>1070</v>
      </c>
      <c r="H117" s="46">
        <f>SUM(G117)</f>
        <v>1070</v>
      </c>
      <c r="I117" s="47"/>
      <c r="J117" s="88"/>
      <c r="K117" s="47"/>
      <c r="L117" s="46"/>
      <c r="M117" s="46">
        <f t="shared" si="20"/>
        <v>1070</v>
      </c>
      <c r="N117" s="46">
        <f t="shared" si="20"/>
        <v>1070</v>
      </c>
      <c r="O117" s="94"/>
      <c r="P117" s="94"/>
    </row>
    <row r="118" spans="1:17" ht="31.5" x14ac:dyDescent="0.2">
      <c r="A118" s="19" t="s">
        <v>156</v>
      </c>
      <c r="B118" s="20" t="s">
        <v>157</v>
      </c>
      <c r="C118" s="21" t="s">
        <v>158</v>
      </c>
      <c r="D118" s="22" t="s">
        <v>26</v>
      </c>
      <c r="E118" s="104"/>
      <c r="F118" s="23">
        <f t="shared" ref="F118:N118" si="21">F119+F123+F134+F150+F156</f>
        <v>173186.7</v>
      </c>
      <c r="G118" s="23">
        <f t="shared" si="21"/>
        <v>37623.300000000003</v>
      </c>
      <c r="H118" s="23">
        <f t="shared" si="21"/>
        <v>210810</v>
      </c>
      <c r="I118" s="24">
        <f t="shared" si="21"/>
        <v>2303038.5000000005</v>
      </c>
      <c r="J118" s="23">
        <f t="shared" si="21"/>
        <v>1604.5</v>
      </c>
      <c r="K118" s="24">
        <f t="shared" si="21"/>
        <v>2304643.0000000005</v>
      </c>
      <c r="L118" s="23">
        <f t="shared" si="21"/>
        <v>2476225.1999999997</v>
      </c>
      <c r="M118" s="23">
        <f t="shared" si="21"/>
        <v>39227.800000000003</v>
      </c>
      <c r="N118" s="23">
        <f t="shared" si="21"/>
        <v>2515453</v>
      </c>
      <c r="O118" s="93"/>
      <c r="P118" s="93"/>
      <c r="Q118" s="25"/>
    </row>
    <row r="119" spans="1:17" ht="20.45" customHeight="1" x14ac:dyDescent="0.2">
      <c r="A119" s="49"/>
      <c r="B119" s="50" t="s">
        <v>159</v>
      </c>
      <c r="C119" s="51" t="s">
        <v>160</v>
      </c>
      <c r="D119" s="52" t="s">
        <v>26</v>
      </c>
      <c r="E119" s="106"/>
      <c r="F119" s="53">
        <f t="shared" ref="F119:K121" si="22">F120</f>
        <v>2930.2</v>
      </c>
      <c r="G119" s="53">
        <f t="shared" si="22"/>
        <v>0</v>
      </c>
      <c r="H119" s="53">
        <f t="shared" si="22"/>
        <v>2930.2</v>
      </c>
      <c r="I119" s="54">
        <f t="shared" si="22"/>
        <v>3074.2</v>
      </c>
      <c r="J119" s="87"/>
      <c r="K119" s="54">
        <f t="shared" si="22"/>
        <v>3074.2</v>
      </c>
      <c r="L119" s="53">
        <f>L120</f>
        <v>6004.4</v>
      </c>
      <c r="M119" s="53">
        <f t="shared" ref="L119:N121" si="23">M120</f>
        <v>0</v>
      </c>
      <c r="N119" s="53">
        <f t="shared" si="23"/>
        <v>6004.4</v>
      </c>
      <c r="O119" s="95"/>
      <c r="P119" s="95"/>
    </row>
    <row r="120" spans="1:17" ht="31.5" x14ac:dyDescent="0.2">
      <c r="A120" s="42"/>
      <c r="B120" s="43" t="s">
        <v>161</v>
      </c>
      <c r="C120" s="44" t="s">
        <v>162</v>
      </c>
      <c r="D120" s="45" t="s">
        <v>26</v>
      </c>
      <c r="E120" s="105"/>
      <c r="F120" s="46">
        <f t="shared" si="22"/>
        <v>2930.2</v>
      </c>
      <c r="G120" s="46">
        <f t="shared" si="22"/>
        <v>0</v>
      </c>
      <c r="H120" s="46">
        <f t="shared" si="22"/>
        <v>2930.2</v>
      </c>
      <c r="I120" s="47">
        <f t="shared" si="22"/>
        <v>3074.2</v>
      </c>
      <c r="J120" s="88"/>
      <c r="K120" s="47">
        <f t="shared" si="22"/>
        <v>3074.2</v>
      </c>
      <c r="L120" s="46">
        <f t="shared" si="23"/>
        <v>6004.4</v>
      </c>
      <c r="M120" s="46">
        <f t="shared" si="23"/>
        <v>0</v>
      </c>
      <c r="N120" s="46">
        <f t="shared" si="23"/>
        <v>6004.4</v>
      </c>
      <c r="O120" s="94"/>
      <c r="P120" s="94"/>
    </row>
    <row r="121" spans="1:17" ht="24" customHeight="1" x14ac:dyDescent="0.2">
      <c r="A121" s="42"/>
      <c r="B121" s="43" t="s">
        <v>163</v>
      </c>
      <c r="C121" s="44" t="s">
        <v>164</v>
      </c>
      <c r="D121" s="45" t="s">
        <v>26</v>
      </c>
      <c r="E121" s="105"/>
      <c r="F121" s="46">
        <f t="shared" si="22"/>
        <v>2930.2</v>
      </c>
      <c r="G121" s="46">
        <f t="shared" si="22"/>
        <v>0</v>
      </c>
      <c r="H121" s="46">
        <f t="shared" si="22"/>
        <v>2930.2</v>
      </c>
      <c r="I121" s="47">
        <f t="shared" si="22"/>
        <v>3074.2</v>
      </c>
      <c r="J121" s="88"/>
      <c r="K121" s="47">
        <f t="shared" si="22"/>
        <v>3074.2</v>
      </c>
      <c r="L121" s="46">
        <f t="shared" si="23"/>
        <v>6004.4</v>
      </c>
      <c r="M121" s="46">
        <f t="shared" si="23"/>
        <v>0</v>
      </c>
      <c r="N121" s="46">
        <f t="shared" si="23"/>
        <v>6004.4</v>
      </c>
      <c r="O121" s="94"/>
      <c r="P121" s="94"/>
    </row>
    <row r="122" spans="1:17" ht="15.75" x14ac:dyDescent="0.2">
      <c r="A122" s="42"/>
      <c r="B122" s="43" t="s">
        <v>54</v>
      </c>
      <c r="C122" s="44" t="s">
        <v>164</v>
      </c>
      <c r="D122" s="45" t="s">
        <v>55</v>
      </c>
      <c r="E122" s="105"/>
      <c r="F122" s="46">
        <v>2930.2</v>
      </c>
      <c r="G122" s="46"/>
      <c r="H122" s="46">
        <v>2930.2</v>
      </c>
      <c r="I122" s="47">
        <v>3074.2</v>
      </c>
      <c r="J122" s="88"/>
      <c r="K122" s="47">
        <v>3074.2</v>
      </c>
      <c r="L122" s="46">
        <f>2930.2+I122</f>
        <v>6004.4</v>
      </c>
      <c r="M122" s="46"/>
      <c r="N122" s="46">
        <f>2930.2+K122</f>
        <v>6004.4</v>
      </c>
      <c r="O122" s="94"/>
      <c r="P122" s="94"/>
    </row>
    <row r="123" spans="1:17" ht="31.5" x14ac:dyDescent="0.2">
      <c r="A123" s="49"/>
      <c r="B123" s="50" t="s">
        <v>165</v>
      </c>
      <c r="C123" s="51" t="s">
        <v>166</v>
      </c>
      <c r="D123" s="52" t="s">
        <v>26</v>
      </c>
      <c r="E123" s="106"/>
      <c r="F123" s="53">
        <f t="shared" ref="F123:N123" si="24">F124</f>
        <v>14186.4</v>
      </c>
      <c r="G123" s="53">
        <f t="shared" si="24"/>
        <v>606.50000000000011</v>
      </c>
      <c r="H123" s="53">
        <f t="shared" si="24"/>
        <v>14792.9</v>
      </c>
      <c r="I123" s="54">
        <f t="shared" si="24"/>
        <v>2299964.3000000003</v>
      </c>
      <c r="J123" s="53">
        <f t="shared" si="24"/>
        <v>1529.5</v>
      </c>
      <c r="K123" s="54">
        <f t="shared" si="24"/>
        <v>2301493.8000000003</v>
      </c>
      <c r="L123" s="53">
        <f t="shared" si="24"/>
        <v>2314150.7000000002</v>
      </c>
      <c r="M123" s="53">
        <f t="shared" si="24"/>
        <v>2136</v>
      </c>
      <c r="N123" s="53">
        <f t="shared" si="24"/>
        <v>2316286.7000000002</v>
      </c>
      <c r="O123" s="95"/>
      <c r="P123" s="95"/>
      <c r="Q123" s="55"/>
    </row>
    <row r="124" spans="1:17" ht="39.6" customHeight="1" x14ac:dyDescent="0.2">
      <c r="A124" s="42"/>
      <c r="B124" s="43" t="s">
        <v>167</v>
      </c>
      <c r="C124" s="44" t="s">
        <v>168</v>
      </c>
      <c r="D124" s="45" t="s">
        <v>26</v>
      </c>
      <c r="E124" s="105"/>
      <c r="F124" s="46">
        <f t="shared" ref="F124:N124" si="25">F125+F128+F130+F132</f>
        <v>14186.4</v>
      </c>
      <c r="G124" s="46">
        <f t="shared" si="25"/>
        <v>606.50000000000011</v>
      </c>
      <c r="H124" s="46">
        <f t="shared" si="25"/>
        <v>14792.9</v>
      </c>
      <c r="I124" s="47">
        <f t="shared" si="25"/>
        <v>2299964.3000000003</v>
      </c>
      <c r="J124" s="46">
        <f t="shared" si="25"/>
        <v>1529.5</v>
      </c>
      <c r="K124" s="47">
        <f t="shared" si="25"/>
        <v>2301493.8000000003</v>
      </c>
      <c r="L124" s="46">
        <f t="shared" si="25"/>
        <v>2314150.7000000002</v>
      </c>
      <c r="M124" s="46">
        <f t="shared" si="25"/>
        <v>2136</v>
      </c>
      <c r="N124" s="46">
        <f t="shared" si="25"/>
        <v>2316286.7000000002</v>
      </c>
      <c r="O124" s="94"/>
      <c r="P124" s="94"/>
      <c r="Q124" s="48"/>
    </row>
    <row r="125" spans="1:17" ht="15.75" x14ac:dyDescent="0.2">
      <c r="A125" s="42"/>
      <c r="B125" s="43" t="s">
        <v>169</v>
      </c>
      <c r="C125" s="44" t="s">
        <v>170</v>
      </c>
      <c r="D125" s="45" t="s">
        <v>26</v>
      </c>
      <c r="E125" s="105"/>
      <c r="F125" s="46">
        <f t="shared" ref="F125:L125" si="26">F126</f>
        <v>1530</v>
      </c>
      <c r="G125" s="46">
        <f>G126+G127</f>
        <v>220.40000000000009</v>
      </c>
      <c r="H125" s="46">
        <f>H126+H127</f>
        <v>1750.4</v>
      </c>
      <c r="I125" s="47">
        <f t="shared" si="26"/>
        <v>0</v>
      </c>
      <c r="J125" s="46">
        <f t="shared" si="26"/>
        <v>1529.5</v>
      </c>
      <c r="K125" s="47">
        <f t="shared" si="26"/>
        <v>1529.5</v>
      </c>
      <c r="L125" s="46">
        <f t="shared" si="26"/>
        <v>1530</v>
      </c>
      <c r="M125" s="46">
        <f>M126+M127</f>
        <v>1749.9</v>
      </c>
      <c r="N125" s="46">
        <f>N126+N127</f>
        <v>3279.9</v>
      </c>
      <c r="O125" s="94"/>
      <c r="P125" s="94"/>
    </row>
    <row r="126" spans="1:17" ht="31.5" x14ac:dyDescent="0.2">
      <c r="A126" s="42"/>
      <c r="B126" s="43" t="s">
        <v>35</v>
      </c>
      <c r="C126" s="44" t="s">
        <v>170</v>
      </c>
      <c r="D126" s="45" t="s">
        <v>36</v>
      </c>
      <c r="E126" s="105"/>
      <c r="F126" s="46">
        <v>1530</v>
      </c>
      <c r="G126" s="46">
        <f>-1530</f>
        <v>-1530</v>
      </c>
      <c r="H126" s="46">
        <f>SUM(F126+G126)</f>
        <v>0</v>
      </c>
      <c r="I126" s="47">
        <v>0</v>
      </c>
      <c r="J126" s="88">
        <v>1529.5</v>
      </c>
      <c r="K126" s="88">
        <f>SUM(J126)</f>
        <v>1529.5</v>
      </c>
      <c r="L126" s="46">
        <v>1530</v>
      </c>
      <c r="M126" s="46">
        <f>SUM(G126+J126)</f>
        <v>-0.5</v>
      </c>
      <c r="N126" s="46">
        <f>1530+M126</f>
        <v>1529.5</v>
      </c>
      <c r="O126" s="94"/>
      <c r="P126" s="94"/>
    </row>
    <row r="127" spans="1:17" ht="31.5" x14ac:dyDescent="0.2">
      <c r="A127" s="42"/>
      <c r="B127" s="43" t="s">
        <v>131</v>
      </c>
      <c r="C127" s="44" t="s">
        <v>170</v>
      </c>
      <c r="D127" s="45" t="s">
        <v>132</v>
      </c>
      <c r="E127" s="105"/>
      <c r="F127" s="46"/>
      <c r="G127" s="46">
        <v>1750.4</v>
      </c>
      <c r="H127" s="46">
        <f>SUM(G127)</f>
        <v>1750.4</v>
      </c>
      <c r="I127" s="47"/>
      <c r="J127" s="88"/>
      <c r="K127" s="88"/>
      <c r="L127" s="46"/>
      <c r="M127" s="46">
        <f>SUM(G127)</f>
        <v>1750.4</v>
      </c>
      <c r="N127" s="46">
        <f>SUM(H127)</f>
        <v>1750.4</v>
      </c>
      <c r="O127" s="94"/>
      <c r="P127" s="94"/>
    </row>
    <row r="128" spans="1:17" ht="20.45" customHeight="1" x14ac:dyDescent="0.2">
      <c r="A128" s="42"/>
      <c r="B128" s="43" t="s">
        <v>171</v>
      </c>
      <c r="C128" s="44" t="s">
        <v>172</v>
      </c>
      <c r="D128" s="45" t="s">
        <v>26</v>
      </c>
      <c r="E128" s="105"/>
      <c r="F128" s="46">
        <f>F129</f>
        <v>11457.5</v>
      </c>
      <c r="G128" s="46">
        <f>G129</f>
        <v>0</v>
      </c>
      <c r="H128" s="46">
        <f>H129</f>
        <v>11457.5</v>
      </c>
      <c r="I128" s="47">
        <f>I129</f>
        <v>2280029.1</v>
      </c>
      <c r="J128" s="88"/>
      <c r="K128" s="47">
        <f>K129</f>
        <v>2280029.1</v>
      </c>
      <c r="L128" s="46">
        <f>L129</f>
        <v>2291486.6</v>
      </c>
      <c r="M128" s="46">
        <f>M129</f>
        <v>0</v>
      </c>
      <c r="N128" s="46">
        <f>N129</f>
        <v>2291486.6</v>
      </c>
      <c r="O128" s="94"/>
      <c r="P128" s="94"/>
    </row>
    <row r="129" spans="1:17" ht="31.5" x14ac:dyDescent="0.2">
      <c r="A129" s="42"/>
      <c r="B129" s="43" t="s">
        <v>131</v>
      </c>
      <c r="C129" s="44" t="s">
        <v>172</v>
      </c>
      <c r="D129" s="45" t="s">
        <v>132</v>
      </c>
      <c r="E129" s="105"/>
      <c r="F129" s="46">
        <v>11457.5</v>
      </c>
      <c r="G129" s="46"/>
      <c r="H129" s="46">
        <v>11457.5</v>
      </c>
      <c r="I129" s="47">
        <v>2280029.1</v>
      </c>
      <c r="J129" s="88"/>
      <c r="K129" s="47">
        <v>2280029.1</v>
      </c>
      <c r="L129" s="46">
        <f>11457.5+I129</f>
        <v>2291486.6</v>
      </c>
      <c r="M129" s="46"/>
      <c r="N129" s="46">
        <f>11457.5+K129</f>
        <v>2291486.6</v>
      </c>
      <c r="O129" s="94"/>
      <c r="P129" s="94"/>
    </row>
    <row r="130" spans="1:17" ht="15.75" x14ac:dyDescent="0.2">
      <c r="A130" s="42"/>
      <c r="B130" s="43" t="s">
        <v>173</v>
      </c>
      <c r="C130" s="44" t="s">
        <v>174</v>
      </c>
      <c r="D130" s="45" t="s">
        <v>26</v>
      </c>
      <c r="E130" s="105"/>
      <c r="F130" s="46">
        <f>F131</f>
        <v>0</v>
      </c>
      <c r="G130" s="46">
        <f>G131</f>
        <v>386.1</v>
      </c>
      <c r="H130" s="46">
        <f>H131</f>
        <v>386.1</v>
      </c>
      <c r="I130" s="47">
        <f>I131</f>
        <v>7335.5</v>
      </c>
      <c r="J130" s="88"/>
      <c r="K130" s="47">
        <f>K131</f>
        <v>7335.5</v>
      </c>
      <c r="L130" s="46">
        <f>L131</f>
        <v>7335.5</v>
      </c>
      <c r="M130" s="46">
        <f>M131</f>
        <v>386.1</v>
      </c>
      <c r="N130" s="46">
        <f>N131</f>
        <v>7721.6</v>
      </c>
      <c r="O130" s="94"/>
      <c r="P130" s="94"/>
    </row>
    <row r="131" spans="1:17" ht="31.5" x14ac:dyDescent="0.2">
      <c r="A131" s="42"/>
      <c r="B131" s="43" t="s">
        <v>131</v>
      </c>
      <c r="C131" s="44" t="s">
        <v>174</v>
      </c>
      <c r="D131" s="45" t="s">
        <v>132</v>
      </c>
      <c r="E131" s="105"/>
      <c r="F131" s="46">
        <v>0</v>
      </c>
      <c r="G131" s="46">
        <v>386.1</v>
      </c>
      <c r="H131" s="46">
        <f>SUM(G131)</f>
        <v>386.1</v>
      </c>
      <c r="I131" s="78">
        <f>14200-6864.5</f>
        <v>7335.5</v>
      </c>
      <c r="J131" s="88"/>
      <c r="K131" s="78">
        <f>14200-6864.5</f>
        <v>7335.5</v>
      </c>
      <c r="L131" s="78">
        <f>14200-6864.5</f>
        <v>7335.5</v>
      </c>
      <c r="M131" s="46">
        <f>SUM(G131)</f>
        <v>386.1</v>
      </c>
      <c r="N131" s="78">
        <f>14200-6864.5+M131</f>
        <v>7721.6</v>
      </c>
      <c r="O131" s="94"/>
      <c r="P131" s="94"/>
    </row>
    <row r="132" spans="1:17" ht="15.75" x14ac:dyDescent="0.2">
      <c r="A132" s="42"/>
      <c r="B132" s="43" t="s">
        <v>175</v>
      </c>
      <c r="C132" s="44" t="s">
        <v>176</v>
      </c>
      <c r="D132" s="45" t="s">
        <v>26</v>
      </c>
      <c r="E132" s="105"/>
      <c r="F132" s="46">
        <f>F133</f>
        <v>1198.9000000000001</v>
      </c>
      <c r="G132" s="46">
        <f>G133</f>
        <v>0</v>
      </c>
      <c r="H132" s="46">
        <f>H133</f>
        <v>1198.9000000000001</v>
      </c>
      <c r="I132" s="47">
        <f>I133</f>
        <v>12599.699999999999</v>
      </c>
      <c r="J132" s="88"/>
      <c r="K132" s="47">
        <f>K133</f>
        <v>12599.699999999999</v>
      </c>
      <c r="L132" s="46">
        <f>L133</f>
        <v>13798.599999999999</v>
      </c>
      <c r="M132" s="46">
        <f>M133</f>
        <v>0</v>
      </c>
      <c r="N132" s="46">
        <f>N133</f>
        <v>13798.599999999999</v>
      </c>
      <c r="O132" s="94"/>
      <c r="P132" s="94"/>
    </row>
    <row r="133" spans="1:17" ht="31.5" x14ac:dyDescent="0.2">
      <c r="A133" s="42"/>
      <c r="B133" s="43" t="s">
        <v>131</v>
      </c>
      <c r="C133" s="44" t="s">
        <v>176</v>
      </c>
      <c r="D133" s="45" t="s">
        <v>132</v>
      </c>
      <c r="E133" s="105"/>
      <c r="F133" s="46">
        <v>1198.9000000000001</v>
      </c>
      <c r="G133" s="46"/>
      <c r="H133" s="46">
        <v>1198.9000000000001</v>
      </c>
      <c r="I133" s="78">
        <f>11689.4+910.3</f>
        <v>12599.699999999999</v>
      </c>
      <c r="J133" s="88"/>
      <c r="K133" s="78">
        <f>11689.4+910.3</f>
        <v>12599.699999999999</v>
      </c>
      <c r="L133" s="46">
        <f>1198.9+I133</f>
        <v>13798.599999999999</v>
      </c>
      <c r="M133" s="46"/>
      <c r="N133" s="46">
        <f>1198.9+K133</f>
        <v>13798.599999999999</v>
      </c>
      <c r="O133" s="94"/>
      <c r="P133" s="94"/>
    </row>
    <row r="134" spans="1:17" ht="15.75" x14ac:dyDescent="0.2">
      <c r="A134" s="49"/>
      <c r="B134" s="50" t="s">
        <v>177</v>
      </c>
      <c r="C134" s="51" t="s">
        <v>178</v>
      </c>
      <c r="D134" s="52" t="s">
        <v>26</v>
      </c>
      <c r="E134" s="106"/>
      <c r="F134" s="53">
        <f t="shared" ref="F134:N134" si="27">F135</f>
        <v>51863.8</v>
      </c>
      <c r="G134" s="53">
        <f t="shared" si="27"/>
        <v>27392.7</v>
      </c>
      <c r="H134" s="53">
        <f t="shared" si="27"/>
        <v>79256.5</v>
      </c>
      <c r="I134" s="54">
        <f t="shared" si="27"/>
        <v>0</v>
      </c>
      <c r="J134" s="53">
        <f t="shared" si="27"/>
        <v>75</v>
      </c>
      <c r="K134" s="54">
        <f t="shared" si="27"/>
        <v>75</v>
      </c>
      <c r="L134" s="53">
        <f t="shared" si="27"/>
        <v>51863.8</v>
      </c>
      <c r="M134" s="53">
        <f t="shared" si="27"/>
        <v>27467.7</v>
      </c>
      <c r="N134" s="53">
        <f t="shared" si="27"/>
        <v>79331.5</v>
      </c>
      <c r="O134" s="95"/>
      <c r="P134" s="95"/>
      <c r="Q134" s="55"/>
    </row>
    <row r="135" spans="1:17" ht="34.9" customHeight="1" x14ac:dyDescent="0.2">
      <c r="A135" s="42"/>
      <c r="B135" s="43" t="s">
        <v>179</v>
      </c>
      <c r="C135" s="44" t="s">
        <v>180</v>
      </c>
      <c r="D135" s="45" t="s">
        <v>26</v>
      </c>
      <c r="E135" s="105"/>
      <c r="F135" s="46">
        <f>F136+F138+F140+F142+F146+F148</f>
        <v>51863.8</v>
      </c>
      <c r="G135" s="46">
        <f>G136+G138+G140+G142+G146+G148+G144</f>
        <v>27392.7</v>
      </c>
      <c r="H135" s="46">
        <f>H136+H138+H140+H142+H146+H148+H144</f>
        <v>79256.5</v>
      </c>
      <c r="I135" s="47">
        <f>I136+I138+I140+I142+I146+I148</f>
        <v>0</v>
      </c>
      <c r="J135" s="88">
        <f>SUM(J138)</f>
        <v>75</v>
      </c>
      <c r="K135" s="47">
        <f>K136+K138+K140+K142+K146+K148</f>
        <v>75</v>
      </c>
      <c r="L135" s="46">
        <f>L136+L138+L140+L142+L146+L148</f>
        <v>51863.8</v>
      </c>
      <c r="M135" s="46">
        <f>M136+M138+M140+M142+M146+M148+M144</f>
        <v>27467.7</v>
      </c>
      <c r="N135" s="46">
        <f>N136+N138+N140+N142+N146+N148+N144</f>
        <v>79331.5</v>
      </c>
      <c r="O135" s="94"/>
      <c r="P135" s="94"/>
      <c r="Q135" s="48"/>
    </row>
    <row r="136" spans="1:17" ht="15.75" x14ac:dyDescent="0.2">
      <c r="A136" s="42"/>
      <c r="B136" s="43" t="s">
        <v>181</v>
      </c>
      <c r="C136" s="44" t="s">
        <v>182</v>
      </c>
      <c r="D136" s="45" t="s">
        <v>26</v>
      </c>
      <c r="E136" s="105"/>
      <c r="F136" s="46">
        <f>F137</f>
        <v>28601.8</v>
      </c>
      <c r="G136" s="46">
        <f>G137</f>
        <v>25439.200000000001</v>
      </c>
      <c r="H136" s="46">
        <f>H137</f>
        <v>54041</v>
      </c>
      <c r="I136" s="47">
        <f>I137</f>
        <v>0</v>
      </c>
      <c r="J136" s="88"/>
      <c r="K136" s="47">
        <f>K137</f>
        <v>0</v>
      </c>
      <c r="L136" s="46">
        <f>L137</f>
        <v>28601.8</v>
      </c>
      <c r="M136" s="46">
        <f>M137</f>
        <v>25439.200000000001</v>
      </c>
      <c r="N136" s="46">
        <f>N137</f>
        <v>54041</v>
      </c>
      <c r="O136" s="94"/>
      <c r="P136" s="94"/>
    </row>
    <row r="137" spans="1:17" ht="31.5" x14ac:dyDescent="0.2">
      <c r="A137" s="42"/>
      <c r="B137" s="43" t="s">
        <v>35</v>
      </c>
      <c r="C137" s="44" t="s">
        <v>182</v>
      </c>
      <c r="D137" s="45" t="s">
        <v>36</v>
      </c>
      <c r="E137" s="105"/>
      <c r="F137" s="46">
        <v>28601.8</v>
      </c>
      <c r="G137" s="46">
        <f>24254+400+361.2+424</f>
        <v>25439.200000000001</v>
      </c>
      <c r="H137" s="46">
        <f>28601.8+G137</f>
        <v>54041</v>
      </c>
      <c r="I137" s="47">
        <v>0</v>
      </c>
      <c r="J137" s="88"/>
      <c r="K137" s="47">
        <v>0</v>
      </c>
      <c r="L137" s="46">
        <v>28601.8</v>
      </c>
      <c r="M137" s="46">
        <f>SUM(G137)</f>
        <v>25439.200000000001</v>
      </c>
      <c r="N137" s="46">
        <f>28601.8+M137</f>
        <v>54041</v>
      </c>
      <c r="O137" s="94"/>
      <c r="P137" s="94"/>
    </row>
    <row r="138" spans="1:17" ht="15.75" x14ac:dyDescent="0.2">
      <c r="A138" s="42"/>
      <c r="B138" s="43" t="s">
        <v>183</v>
      </c>
      <c r="C138" s="44" t="s">
        <v>184</v>
      </c>
      <c r="D138" s="45" t="s">
        <v>26</v>
      </c>
      <c r="E138" s="105"/>
      <c r="F138" s="46">
        <f t="shared" ref="F138:N138" si="28">F139</f>
        <v>3000</v>
      </c>
      <c r="G138" s="46">
        <f t="shared" si="28"/>
        <v>1842.6</v>
      </c>
      <c r="H138" s="46">
        <f t="shared" si="28"/>
        <v>4842.6000000000004</v>
      </c>
      <c r="I138" s="47">
        <f t="shared" si="28"/>
        <v>0</v>
      </c>
      <c r="J138" s="46">
        <f t="shared" si="28"/>
        <v>75</v>
      </c>
      <c r="K138" s="47">
        <f t="shared" si="28"/>
        <v>75</v>
      </c>
      <c r="L138" s="46">
        <f t="shared" si="28"/>
        <v>3000</v>
      </c>
      <c r="M138" s="46">
        <f t="shared" si="28"/>
        <v>1917.6</v>
      </c>
      <c r="N138" s="46">
        <f t="shared" si="28"/>
        <v>4917.6000000000004</v>
      </c>
      <c r="O138" s="94"/>
      <c r="P138" s="94"/>
    </row>
    <row r="139" spans="1:17" ht="31.5" x14ac:dyDescent="0.2">
      <c r="A139" s="42"/>
      <c r="B139" s="43" t="s">
        <v>35</v>
      </c>
      <c r="C139" s="44" t="s">
        <v>184</v>
      </c>
      <c r="D139" s="45" t="s">
        <v>36</v>
      </c>
      <c r="E139" s="105"/>
      <c r="F139" s="46">
        <v>3000</v>
      </c>
      <c r="G139" s="46">
        <v>1842.6</v>
      </c>
      <c r="H139" s="46">
        <f>3000+G139</f>
        <v>4842.6000000000004</v>
      </c>
      <c r="I139" s="47">
        <v>0</v>
      </c>
      <c r="J139" s="88">
        <v>75</v>
      </c>
      <c r="K139" s="47">
        <f>SUM(J139)</f>
        <v>75</v>
      </c>
      <c r="L139" s="46">
        <v>3000</v>
      </c>
      <c r="M139" s="46">
        <f>SUM(J139)+G139</f>
        <v>1917.6</v>
      </c>
      <c r="N139" s="46">
        <f>3000+M139</f>
        <v>4917.6000000000004</v>
      </c>
      <c r="O139" s="94"/>
      <c r="P139" s="94"/>
    </row>
    <row r="140" spans="1:17" ht="15.75" x14ac:dyDescent="0.2">
      <c r="A140" s="42"/>
      <c r="B140" s="43" t="s">
        <v>185</v>
      </c>
      <c r="C140" s="44" t="s">
        <v>186</v>
      </c>
      <c r="D140" s="45" t="s">
        <v>26</v>
      </c>
      <c r="E140" s="105"/>
      <c r="F140" s="46">
        <f>F141</f>
        <v>2550</v>
      </c>
      <c r="G140" s="46">
        <f>G141</f>
        <v>0</v>
      </c>
      <c r="H140" s="46">
        <f>H141</f>
        <v>2550</v>
      </c>
      <c r="I140" s="47">
        <f>I141</f>
        <v>0</v>
      </c>
      <c r="J140" s="88"/>
      <c r="K140" s="47">
        <f>K141</f>
        <v>0</v>
      </c>
      <c r="L140" s="46">
        <f>L141</f>
        <v>2550</v>
      </c>
      <c r="M140" s="46">
        <f>M141</f>
        <v>0</v>
      </c>
      <c r="N140" s="46">
        <f>N141</f>
        <v>2550</v>
      </c>
      <c r="O140" s="94"/>
      <c r="P140" s="94"/>
    </row>
    <row r="141" spans="1:17" ht="31.5" x14ac:dyDescent="0.2">
      <c r="A141" s="42"/>
      <c r="B141" s="43" t="s">
        <v>35</v>
      </c>
      <c r="C141" s="44" t="s">
        <v>186</v>
      </c>
      <c r="D141" s="45" t="s">
        <v>36</v>
      </c>
      <c r="E141" s="105"/>
      <c r="F141" s="46">
        <v>2550</v>
      </c>
      <c r="G141" s="46"/>
      <c r="H141" s="46">
        <v>2550</v>
      </c>
      <c r="I141" s="47">
        <v>0</v>
      </c>
      <c r="J141" s="88"/>
      <c r="K141" s="47">
        <v>0</v>
      </c>
      <c r="L141" s="46">
        <v>2550</v>
      </c>
      <c r="M141" s="46"/>
      <c r="N141" s="46">
        <v>2550</v>
      </c>
      <c r="O141" s="94"/>
      <c r="P141" s="94"/>
    </row>
    <row r="142" spans="1:17" ht="15.75" x14ac:dyDescent="0.2">
      <c r="A142" s="42"/>
      <c r="B142" s="43" t="s">
        <v>187</v>
      </c>
      <c r="C142" s="44" t="s">
        <v>188</v>
      </c>
      <c r="D142" s="45" t="s">
        <v>26</v>
      </c>
      <c r="E142" s="105"/>
      <c r="F142" s="46">
        <f>F143</f>
        <v>50</v>
      </c>
      <c r="G142" s="46">
        <f>G143</f>
        <v>1547.4</v>
      </c>
      <c r="H142" s="46">
        <f>H143</f>
        <v>1597.4</v>
      </c>
      <c r="I142" s="47">
        <f>I143</f>
        <v>0</v>
      </c>
      <c r="J142" s="88"/>
      <c r="K142" s="47">
        <f>K143</f>
        <v>0</v>
      </c>
      <c r="L142" s="46">
        <f>L143</f>
        <v>50</v>
      </c>
      <c r="M142" s="46">
        <f>M143</f>
        <v>1547.4</v>
      </c>
      <c r="N142" s="46">
        <f>N143</f>
        <v>1597.4</v>
      </c>
      <c r="O142" s="94"/>
      <c r="P142" s="94"/>
    </row>
    <row r="143" spans="1:17" ht="31.5" x14ac:dyDescent="0.2">
      <c r="A143" s="42"/>
      <c r="B143" s="43" t="s">
        <v>35</v>
      </c>
      <c r="C143" s="44" t="s">
        <v>188</v>
      </c>
      <c r="D143" s="45" t="s">
        <v>36</v>
      </c>
      <c r="E143" s="105"/>
      <c r="F143" s="46">
        <v>50</v>
      </c>
      <c r="G143" s="46">
        <f>1249.4+298</f>
        <v>1547.4</v>
      </c>
      <c r="H143" s="46">
        <f>50+G143</f>
        <v>1597.4</v>
      </c>
      <c r="I143" s="47">
        <v>0</v>
      </c>
      <c r="J143" s="88"/>
      <c r="K143" s="47">
        <v>0</v>
      </c>
      <c r="L143" s="46">
        <v>50</v>
      </c>
      <c r="M143" s="46">
        <f>SUM(G143)</f>
        <v>1547.4</v>
      </c>
      <c r="N143" s="46">
        <f>50+M143</f>
        <v>1597.4</v>
      </c>
      <c r="O143" s="94"/>
      <c r="P143" s="94"/>
    </row>
    <row r="144" spans="1:17" ht="27" customHeight="1" x14ac:dyDescent="0.2">
      <c r="A144" s="42"/>
      <c r="B144" s="43" t="s">
        <v>189</v>
      </c>
      <c r="C144" s="44" t="s">
        <v>190</v>
      </c>
      <c r="D144" s="45"/>
      <c r="E144" s="105"/>
      <c r="F144" s="46"/>
      <c r="G144" s="46">
        <v>700</v>
      </c>
      <c r="H144" s="46">
        <f>SUM(G144)</f>
        <v>700</v>
      </c>
      <c r="I144" s="47"/>
      <c r="J144" s="88"/>
      <c r="K144" s="47"/>
      <c r="L144" s="46"/>
      <c r="M144" s="46">
        <f>SUM(G144)</f>
        <v>700</v>
      </c>
      <c r="N144" s="46">
        <f>SUM(M144)</f>
        <v>700</v>
      </c>
      <c r="O144" s="94"/>
      <c r="P144" s="94"/>
    </row>
    <row r="145" spans="1:16" ht="31.5" x14ac:dyDescent="0.2">
      <c r="A145" s="42"/>
      <c r="B145" s="43" t="s">
        <v>35</v>
      </c>
      <c r="C145" s="44" t="s">
        <v>190</v>
      </c>
      <c r="D145" s="45" t="s">
        <v>36</v>
      </c>
      <c r="E145" s="105"/>
      <c r="F145" s="46"/>
      <c r="G145" s="46">
        <v>700</v>
      </c>
      <c r="H145" s="46">
        <f>SUM(G145)</f>
        <v>700</v>
      </c>
      <c r="I145" s="47"/>
      <c r="J145" s="88"/>
      <c r="K145" s="47"/>
      <c r="L145" s="46"/>
      <c r="M145" s="46">
        <f>SUM(G145)</f>
        <v>700</v>
      </c>
      <c r="N145" s="46">
        <f>SUM(M145)</f>
        <v>700</v>
      </c>
      <c r="O145" s="94"/>
      <c r="P145" s="94"/>
    </row>
    <row r="146" spans="1:16" ht="31.5" x14ac:dyDescent="0.2">
      <c r="A146" s="42"/>
      <c r="B146" s="43" t="s">
        <v>191</v>
      </c>
      <c r="C146" s="44" t="s">
        <v>192</v>
      </c>
      <c r="D146" s="45" t="s">
        <v>26</v>
      </c>
      <c r="E146" s="105"/>
      <c r="F146" s="46">
        <f>F147</f>
        <v>4100</v>
      </c>
      <c r="G146" s="46">
        <f>G147</f>
        <v>0</v>
      </c>
      <c r="H146" s="46">
        <f>H147</f>
        <v>4100</v>
      </c>
      <c r="I146" s="47">
        <f>I147</f>
        <v>0</v>
      </c>
      <c r="J146" s="88"/>
      <c r="K146" s="47">
        <f>K147</f>
        <v>0</v>
      </c>
      <c r="L146" s="46">
        <f>L147</f>
        <v>4100</v>
      </c>
      <c r="M146" s="46">
        <f>M147</f>
        <v>0</v>
      </c>
      <c r="N146" s="46">
        <f>N147</f>
        <v>4100</v>
      </c>
      <c r="O146" s="94"/>
      <c r="P146" s="94"/>
    </row>
    <row r="147" spans="1:16" ht="31.5" x14ac:dyDescent="0.2">
      <c r="A147" s="42"/>
      <c r="B147" s="43" t="s">
        <v>35</v>
      </c>
      <c r="C147" s="44" t="s">
        <v>192</v>
      </c>
      <c r="D147" s="45" t="s">
        <v>36</v>
      </c>
      <c r="E147" s="105"/>
      <c r="F147" s="46">
        <v>4100</v>
      </c>
      <c r="G147" s="46"/>
      <c r="H147" s="46">
        <v>4100</v>
      </c>
      <c r="I147" s="47">
        <v>0</v>
      </c>
      <c r="J147" s="88"/>
      <c r="K147" s="47">
        <v>0</v>
      </c>
      <c r="L147" s="46">
        <v>4100</v>
      </c>
      <c r="M147" s="46"/>
      <c r="N147" s="46">
        <v>4100</v>
      </c>
      <c r="O147" s="94"/>
      <c r="P147" s="94"/>
    </row>
    <row r="148" spans="1:16" ht="34.9" customHeight="1" x14ac:dyDescent="0.2">
      <c r="A148" s="42"/>
      <c r="B148" s="43" t="s">
        <v>193</v>
      </c>
      <c r="C148" s="44" t="s">
        <v>194</v>
      </c>
      <c r="D148" s="45" t="s">
        <v>26</v>
      </c>
      <c r="E148" s="105"/>
      <c r="F148" s="46">
        <f>F149</f>
        <v>13562</v>
      </c>
      <c r="G148" s="46">
        <f>G149</f>
        <v>-2136.5</v>
      </c>
      <c r="H148" s="46">
        <f>H149</f>
        <v>11425.5</v>
      </c>
      <c r="I148" s="47">
        <f>I149</f>
        <v>0</v>
      </c>
      <c r="J148" s="88"/>
      <c r="K148" s="47">
        <f>K149</f>
        <v>0</v>
      </c>
      <c r="L148" s="46">
        <f>L149</f>
        <v>13562</v>
      </c>
      <c r="M148" s="46">
        <f>M149</f>
        <v>-2136.5</v>
      </c>
      <c r="N148" s="46">
        <f>N149</f>
        <v>11425.5</v>
      </c>
      <c r="O148" s="94"/>
      <c r="P148" s="94"/>
    </row>
    <row r="149" spans="1:16" ht="31.5" x14ac:dyDescent="0.2">
      <c r="A149" s="42"/>
      <c r="B149" s="43" t="s">
        <v>35</v>
      </c>
      <c r="C149" s="44" t="s">
        <v>194</v>
      </c>
      <c r="D149" s="45" t="s">
        <v>36</v>
      </c>
      <c r="E149" s="105"/>
      <c r="F149" s="56">
        <f>4350+9212</f>
        <v>13562</v>
      </c>
      <c r="G149" s="56">
        <v>-2136.5</v>
      </c>
      <c r="H149" s="56">
        <f>4350+9212+G149</f>
        <v>11425.5</v>
      </c>
      <c r="I149" s="47">
        <v>0</v>
      </c>
      <c r="J149" s="111"/>
      <c r="K149" s="47">
        <v>0</v>
      </c>
      <c r="L149" s="56">
        <f>4350+9212</f>
        <v>13562</v>
      </c>
      <c r="M149" s="56">
        <f>SUM(G149)</f>
        <v>-2136.5</v>
      </c>
      <c r="N149" s="56">
        <f>4350+9212+M149</f>
        <v>11425.5</v>
      </c>
      <c r="O149" s="94"/>
      <c r="P149" s="94"/>
    </row>
    <row r="150" spans="1:16" ht="21.6" customHeight="1" x14ac:dyDescent="0.2">
      <c r="A150" s="49"/>
      <c r="B150" s="50" t="s">
        <v>195</v>
      </c>
      <c r="C150" s="51" t="s">
        <v>196</v>
      </c>
      <c r="D150" s="52" t="s">
        <v>26</v>
      </c>
      <c r="E150" s="106"/>
      <c r="F150" s="53">
        <f t="shared" ref="F150:N150" si="29">F151</f>
        <v>4743.5</v>
      </c>
      <c r="G150" s="53">
        <f t="shared" si="29"/>
        <v>2629</v>
      </c>
      <c r="H150" s="53">
        <f t="shared" si="29"/>
        <v>7372.5</v>
      </c>
      <c r="I150" s="54">
        <f t="shared" si="29"/>
        <v>0</v>
      </c>
      <c r="J150" s="53">
        <f t="shared" si="29"/>
        <v>0</v>
      </c>
      <c r="K150" s="54">
        <f t="shared" si="29"/>
        <v>0</v>
      </c>
      <c r="L150" s="53">
        <f t="shared" si="29"/>
        <v>4743.5</v>
      </c>
      <c r="M150" s="53">
        <f t="shared" si="29"/>
        <v>2629</v>
      </c>
      <c r="N150" s="53">
        <f t="shared" si="29"/>
        <v>7372.5</v>
      </c>
      <c r="O150" s="95"/>
      <c r="P150" s="95"/>
    </row>
    <row r="151" spans="1:16" ht="31.5" x14ac:dyDescent="0.2">
      <c r="A151" s="42"/>
      <c r="B151" s="43" t="s">
        <v>197</v>
      </c>
      <c r="C151" s="44" t="s">
        <v>198</v>
      </c>
      <c r="D151" s="45" t="s">
        <v>26</v>
      </c>
      <c r="E151" s="105"/>
      <c r="F151" s="46">
        <f>F152+F154</f>
        <v>4743.5</v>
      </c>
      <c r="G151" s="46">
        <f>G152+G154</f>
        <v>2629</v>
      </c>
      <c r="H151" s="46">
        <f>H152+H154</f>
        <v>7372.5</v>
      </c>
      <c r="I151" s="47">
        <f>I152+I154</f>
        <v>0</v>
      </c>
      <c r="J151" s="88"/>
      <c r="K151" s="47">
        <f>K152+K154</f>
        <v>0</v>
      </c>
      <c r="L151" s="46">
        <f>L152+L154</f>
        <v>4743.5</v>
      </c>
      <c r="M151" s="46">
        <f>M152+M154</f>
        <v>2629</v>
      </c>
      <c r="N151" s="46">
        <f>N152+N154</f>
        <v>7372.5</v>
      </c>
      <c r="O151" s="94"/>
      <c r="P151" s="94"/>
    </row>
    <row r="152" spans="1:16" ht="31.9" customHeight="1" x14ac:dyDescent="0.2">
      <c r="A152" s="42"/>
      <c r="B152" s="43" t="s">
        <v>199</v>
      </c>
      <c r="C152" s="44" t="s">
        <v>200</v>
      </c>
      <c r="D152" s="45" t="s">
        <v>26</v>
      </c>
      <c r="E152" s="105"/>
      <c r="F152" s="46">
        <f>F153</f>
        <v>2400</v>
      </c>
      <c r="G152" s="46">
        <f>G153</f>
        <v>0</v>
      </c>
      <c r="H152" s="46">
        <f>H153</f>
        <v>2400</v>
      </c>
      <c r="I152" s="47">
        <f>I153</f>
        <v>0</v>
      </c>
      <c r="J152" s="88"/>
      <c r="K152" s="47">
        <f>K153</f>
        <v>0</v>
      </c>
      <c r="L152" s="46">
        <f>L153</f>
        <v>2400</v>
      </c>
      <c r="M152" s="46">
        <f>M153</f>
        <v>0</v>
      </c>
      <c r="N152" s="46">
        <f>N153</f>
        <v>2400</v>
      </c>
      <c r="O152" s="94"/>
      <c r="P152" s="94"/>
    </row>
    <row r="153" spans="1:16" ht="31.5" x14ac:dyDescent="0.2">
      <c r="A153" s="42"/>
      <c r="B153" s="43" t="s">
        <v>35</v>
      </c>
      <c r="C153" s="44" t="s">
        <v>200</v>
      </c>
      <c r="D153" s="45" t="s">
        <v>36</v>
      </c>
      <c r="E153" s="105"/>
      <c r="F153" s="46">
        <v>2400</v>
      </c>
      <c r="G153" s="46"/>
      <c r="H153" s="46">
        <v>2400</v>
      </c>
      <c r="I153" s="47">
        <v>0</v>
      </c>
      <c r="J153" s="88"/>
      <c r="K153" s="47">
        <v>0</v>
      </c>
      <c r="L153" s="46">
        <v>2400</v>
      </c>
      <c r="M153" s="46"/>
      <c r="N153" s="46">
        <v>2400</v>
      </c>
      <c r="O153" s="94"/>
      <c r="P153" s="94"/>
    </row>
    <row r="154" spans="1:16" ht="31.5" x14ac:dyDescent="0.2">
      <c r="A154" s="42"/>
      <c r="B154" s="43" t="s">
        <v>201</v>
      </c>
      <c r="C154" s="44" t="s">
        <v>202</v>
      </c>
      <c r="D154" s="45" t="s">
        <v>26</v>
      </c>
      <c r="E154" s="105"/>
      <c r="F154" s="46">
        <f>F155</f>
        <v>2343.5</v>
      </c>
      <c r="G154" s="46">
        <f>G155</f>
        <v>2629</v>
      </c>
      <c r="H154" s="46">
        <f>H155</f>
        <v>4972.5</v>
      </c>
      <c r="I154" s="47">
        <f>I155</f>
        <v>0</v>
      </c>
      <c r="J154" s="88"/>
      <c r="K154" s="47">
        <f>K155</f>
        <v>0</v>
      </c>
      <c r="L154" s="46">
        <f>L155</f>
        <v>2343.5</v>
      </c>
      <c r="M154" s="46">
        <f>M155</f>
        <v>2629</v>
      </c>
      <c r="N154" s="46">
        <f>N155</f>
        <v>4972.5</v>
      </c>
      <c r="O154" s="94"/>
      <c r="P154" s="94"/>
    </row>
    <row r="155" spans="1:16" ht="31.5" x14ac:dyDescent="0.2">
      <c r="A155" s="42"/>
      <c r="B155" s="43" t="s">
        <v>35</v>
      </c>
      <c r="C155" s="44" t="s">
        <v>202</v>
      </c>
      <c r="D155" s="45" t="s">
        <v>36</v>
      </c>
      <c r="E155" s="105"/>
      <c r="F155" s="56">
        <f>2843.5-500</f>
        <v>2343.5</v>
      </c>
      <c r="G155" s="56">
        <f>1449+1180</f>
        <v>2629</v>
      </c>
      <c r="H155" s="56">
        <f>2843.5-500+G155</f>
        <v>4972.5</v>
      </c>
      <c r="I155" s="47">
        <v>0</v>
      </c>
      <c r="J155" s="111"/>
      <c r="K155" s="47">
        <v>0</v>
      </c>
      <c r="L155" s="56">
        <f>2843.5-500</f>
        <v>2343.5</v>
      </c>
      <c r="M155" s="56">
        <f>SUM(G155)</f>
        <v>2629</v>
      </c>
      <c r="N155" s="56">
        <f>2843.5-500+M155</f>
        <v>4972.5</v>
      </c>
      <c r="O155" s="94"/>
      <c r="P155" s="94"/>
    </row>
    <row r="156" spans="1:16" ht="15.75" x14ac:dyDescent="0.2">
      <c r="A156" s="49"/>
      <c r="B156" s="50" t="s">
        <v>203</v>
      </c>
      <c r="C156" s="51" t="s">
        <v>204</v>
      </c>
      <c r="D156" s="52" t="s">
        <v>26</v>
      </c>
      <c r="E156" s="106"/>
      <c r="F156" s="53">
        <f t="shared" ref="F156:L156" si="30">F157+F160</f>
        <v>99462.8</v>
      </c>
      <c r="G156" s="53">
        <f>G157+G160+G167</f>
        <v>6995.1</v>
      </c>
      <c r="H156" s="53">
        <f>H157+H160+H167</f>
        <v>106457.9</v>
      </c>
      <c r="I156" s="54">
        <f t="shared" si="30"/>
        <v>0</v>
      </c>
      <c r="J156" s="53">
        <f t="shared" si="30"/>
        <v>0</v>
      </c>
      <c r="K156" s="54">
        <f t="shared" si="30"/>
        <v>0</v>
      </c>
      <c r="L156" s="53">
        <f t="shared" si="30"/>
        <v>99462.8</v>
      </c>
      <c r="M156" s="53">
        <f>M157+M160+M167</f>
        <v>6995.1</v>
      </c>
      <c r="N156" s="53">
        <f>N157+N160+N167</f>
        <v>106457.9</v>
      </c>
      <c r="O156" s="95"/>
      <c r="P156" s="95"/>
    </row>
    <row r="157" spans="1:16" ht="31.5" x14ac:dyDescent="0.2">
      <c r="A157" s="42"/>
      <c r="B157" s="43" t="s">
        <v>205</v>
      </c>
      <c r="C157" s="44" t="s">
        <v>206</v>
      </c>
      <c r="D157" s="45" t="s">
        <v>26</v>
      </c>
      <c r="E157" s="105"/>
      <c r="F157" s="46">
        <f t="shared" ref="F157:N158" si="31">F158</f>
        <v>7768.7</v>
      </c>
      <c r="G157" s="46">
        <f t="shared" si="31"/>
        <v>0</v>
      </c>
      <c r="H157" s="46">
        <f t="shared" si="31"/>
        <v>7768.7</v>
      </c>
      <c r="I157" s="47">
        <f t="shared" si="31"/>
        <v>0</v>
      </c>
      <c r="J157" s="88"/>
      <c r="K157" s="47">
        <f t="shared" si="31"/>
        <v>0</v>
      </c>
      <c r="L157" s="46">
        <f t="shared" si="31"/>
        <v>7768.7</v>
      </c>
      <c r="M157" s="46">
        <f t="shared" si="31"/>
        <v>0</v>
      </c>
      <c r="N157" s="46">
        <f t="shared" si="31"/>
        <v>7768.7</v>
      </c>
      <c r="O157" s="94"/>
      <c r="P157" s="94"/>
    </row>
    <row r="158" spans="1:16" ht="31.5" x14ac:dyDescent="0.2">
      <c r="A158" s="42"/>
      <c r="B158" s="43" t="s">
        <v>39</v>
      </c>
      <c r="C158" s="44" t="s">
        <v>207</v>
      </c>
      <c r="D158" s="45" t="s">
        <v>26</v>
      </c>
      <c r="E158" s="105"/>
      <c r="F158" s="46">
        <f t="shared" si="31"/>
        <v>7768.7</v>
      </c>
      <c r="G158" s="46">
        <f t="shared" si="31"/>
        <v>0</v>
      </c>
      <c r="H158" s="46">
        <f t="shared" si="31"/>
        <v>7768.7</v>
      </c>
      <c r="I158" s="47">
        <f t="shared" si="31"/>
        <v>0</v>
      </c>
      <c r="J158" s="88"/>
      <c r="K158" s="47">
        <f t="shared" si="31"/>
        <v>0</v>
      </c>
      <c r="L158" s="46">
        <f t="shared" si="31"/>
        <v>7768.7</v>
      </c>
      <c r="M158" s="46">
        <f t="shared" si="31"/>
        <v>0</v>
      </c>
      <c r="N158" s="46">
        <f t="shared" si="31"/>
        <v>7768.7</v>
      </c>
      <c r="O158" s="94"/>
      <c r="P158" s="94"/>
    </row>
    <row r="159" spans="1:16" ht="31.5" x14ac:dyDescent="0.2">
      <c r="A159" s="42"/>
      <c r="B159" s="43" t="s">
        <v>74</v>
      </c>
      <c r="C159" s="44" t="s">
        <v>207</v>
      </c>
      <c r="D159" s="45" t="s">
        <v>75</v>
      </c>
      <c r="E159" s="105"/>
      <c r="F159" s="46">
        <v>7768.7</v>
      </c>
      <c r="G159" s="46"/>
      <c r="H159" s="46">
        <v>7768.7</v>
      </c>
      <c r="I159" s="47">
        <v>0</v>
      </c>
      <c r="J159" s="88"/>
      <c r="K159" s="47">
        <v>0</v>
      </c>
      <c r="L159" s="46">
        <v>7768.7</v>
      </c>
      <c r="M159" s="46"/>
      <c r="N159" s="46">
        <v>7768.7</v>
      </c>
      <c r="O159" s="94"/>
      <c r="P159" s="94"/>
    </row>
    <row r="160" spans="1:16" ht="36" customHeight="1" x14ac:dyDescent="0.2">
      <c r="A160" s="42"/>
      <c r="B160" s="43" t="s">
        <v>208</v>
      </c>
      <c r="C160" s="44" t="s">
        <v>209</v>
      </c>
      <c r="D160" s="45" t="s">
        <v>26</v>
      </c>
      <c r="E160" s="105"/>
      <c r="F160" s="46">
        <f t="shared" ref="F160:N161" si="32">F161</f>
        <v>91694.1</v>
      </c>
      <c r="G160" s="46">
        <f>SUM(G165)+G161+G163</f>
        <v>5488.2</v>
      </c>
      <c r="H160" s="46">
        <f>H161+H165+H163</f>
        <v>97182.3</v>
      </c>
      <c r="I160" s="47">
        <f t="shared" si="32"/>
        <v>0</v>
      </c>
      <c r="J160" s="88"/>
      <c r="K160" s="47">
        <f t="shared" si="32"/>
        <v>0</v>
      </c>
      <c r="L160" s="46">
        <f t="shared" si="32"/>
        <v>91694.1</v>
      </c>
      <c r="M160" s="46">
        <f>SUM(M165)+M161+M163</f>
        <v>5488.2</v>
      </c>
      <c r="N160" s="46">
        <f>N161+N165+N163</f>
        <v>97182.3</v>
      </c>
      <c r="O160" s="94"/>
      <c r="P160" s="94"/>
    </row>
    <row r="161" spans="1:17" ht="31.5" x14ac:dyDescent="0.2">
      <c r="A161" s="42"/>
      <c r="B161" s="43" t="s">
        <v>39</v>
      </c>
      <c r="C161" s="44" t="s">
        <v>210</v>
      </c>
      <c r="D161" s="45" t="s">
        <v>26</v>
      </c>
      <c r="E161" s="105"/>
      <c r="F161" s="46">
        <f t="shared" si="32"/>
        <v>91694.1</v>
      </c>
      <c r="G161" s="46">
        <f t="shared" si="32"/>
        <v>2409.1999999999998</v>
      </c>
      <c r="H161" s="46">
        <f t="shared" si="32"/>
        <v>94103.3</v>
      </c>
      <c r="I161" s="47">
        <f t="shared" si="32"/>
        <v>0</v>
      </c>
      <c r="J161" s="88"/>
      <c r="K161" s="47">
        <f t="shared" si="32"/>
        <v>0</v>
      </c>
      <c r="L161" s="46">
        <f t="shared" si="32"/>
        <v>91694.1</v>
      </c>
      <c r="M161" s="46">
        <f t="shared" si="32"/>
        <v>2409.1999999999998</v>
      </c>
      <c r="N161" s="46">
        <f t="shared" si="32"/>
        <v>94103.3</v>
      </c>
      <c r="O161" s="94"/>
      <c r="P161" s="94"/>
    </row>
    <row r="162" spans="1:17" ht="30.75" customHeight="1" x14ac:dyDescent="0.2">
      <c r="A162" s="42"/>
      <c r="B162" s="43" t="s">
        <v>74</v>
      </c>
      <c r="C162" s="44" t="s">
        <v>210</v>
      </c>
      <c r="D162" s="45" t="s">
        <v>75</v>
      </c>
      <c r="E162" s="105"/>
      <c r="F162" s="46">
        <v>91694.1</v>
      </c>
      <c r="G162" s="46">
        <f>559+1850.2</f>
        <v>2409.1999999999998</v>
      </c>
      <c r="H162" s="46">
        <f>91694.1+G162</f>
        <v>94103.3</v>
      </c>
      <c r="I162" s="47">
        <v>0</v>
      </c>
      <c r="J162" s="88"/>
      <c r="K162" s="47">
        <v>0</v>
      </c>
      <c r="L162" s="46">
        <v>91694.1</v>
      </c>
      <c r="M162" s="46">
        <f>SUM(G162)</f>
        <v>2409.1999999999998</v>
      </c>
      <c r="N162" s="46">
        <f>91694.1+M162</f>
        <v>94103.3</v>
      </c>
      <c r="O162" s="94"/>
      <c r="P162" s="94"/>
    </row>
    <row r="163" spans="1:17" ht="31.5" customHeight="1" x14ac:dyDescent="0.2">
      <c r="A163" s="42"/>
      <c r="B163" s="43" t="s">
        <v>211</v>
      </c>
      <c r="C163" s="44" t="s">
        <v>212</v>
      </c>
      <c r="D163" s="45"/>
      <c r="E163" s="105"/>
      <c r="F163" s="46"/>
      <c r="G163" s="46">
        <v>779</v>
      </c>
      <c r="H163" s="46">
        <f>SUM(G163)</f>
        <v>779</v>
      </c>
      <c r="I163" s="47"/>
      <c r="J163" s="88"/>
      <c r="K163" s="47"/>
      <c r="L163" s="46"/>
      <c r="M163" s="46">
        <f>SUM(G163)</f>
        <v>779</v>
      </c>
      <c r="N163" s="46">
        <f>SUM(M163)</f>
        <v>779</v>
      </c>
      <c r="O163" s="94"/>
      <c r="P163" s="94"/>
    </row>
    <row r="164" spans="1:17" ht="33.75" customHeight="1" x14ac:dyDescent="0.2">
      <c r="A164" s="42"/>
      <c r="B164" s="43" t="s">
        <v>74</v>
      </c>
      <c r="C164" s="44" t="s">
        <v>212</v>
      </c>
      <c r="D164" s="45" t="s">
        <v>75</v>
      </c>
      <c r="E164" s="105"/>
      <c r="F164" s="46"/>
      <c r="G164" s="46">
        <v>779</v>
      </c>
      <c r="H164" s="46">
        <f>SUM(G164)</f>
        <v>779</v>
      </c>
      <c r="I164" s="47"/>
      <c r="J164" s="88"/>
      <c r="K164" s="47"/>
      <c r="L164" s="46"/>
      <c r="M164" s="46">
        <f>SUM(G164)</f>
        <v>779</v>
      </c>
      <c r="N164" s="46">
        <f>SUM(M164)</f>
        <v>779</v>
      </c>
      <c r="O164" s="94"/>
      <c r="P164" s="94"/>
    </row>
    <row r="165" spans="1:17" ht="31.5" customHeight="1" x14ac:dyDescent="0.2">
      <c r="A165" s="42"/>
      <c r="B165" s="121" t="s">
        <v>78</v>
      </c>
      <c r="C165" s="44" t="s">
        <v>213</v>
      </c>
      <c r="D165" s="45"/>
      <c r="E165" s="105"/>
      <c r="F165" s="46"/>
      <c r="G165" s="46">
        <f>SUM(G166)</f>
        <v>2300</v>
      </c>
      <c r="H165" s="46">
        <f>SUM(H166)</f>
        <v>2300</v>
      </c>
      <c r="I165" s="47"/>
      <c r="J165" s="88"/>
      <c r="K165" s="47"/>
      <c r="L165" s="46"/>
      <c r="M165" s="46">
        <f t="shared" ref="M165:N169" si="33">SUM(G165)</f>
        <v>2300</v>
      </c>
      <c r="N165" s="46">
        <f t="shared" si="33"/>
        <v>2300</v>
      </c>
      <c r="O165" s="94"/>
      <c r="P165" s="94"/>
    </row>
    <row r="166" spans="1:17" ht="31.5" customHeight="1" x14ac:dyDescent="0.2">
      <c r="A166" s="42"/>
      <c r="B166" s="43" t="s">
        <v>74</v>
      </c>
      <c r="C166" s="44" t="s">
        <v>213</v>
      </c>
      <c r="D166" s="45" t="s">
        <v>75</v>
      </c>
      <c r="E166" s="105"/>
      <c r="F166" s="46"/>
      <c r="G166" s="46">
        <f>3079-779</f>
        <v>2300</v>
      </c>
      <c r="H166" s="46">
        <f>SUM(G166)</f>
        <v>2300</v>
      </c>
      <c r="I166" s="47"/>
      <c r="J166" s="88"/>
      <c r="K166" s="47"/>
      <c r="L166" s="46"/>
      <c r="M166" s="46">
        <f t="shared" si="33"/>
        <v>2300</v>
      </c>
      <c r="N166" s="46">
        <f t="shared" si="33"/>
        <v>2300</v>
      </c>
      <c r="O166" s="94"/>
      <c r="P166" s="94"/>
    </row>
    <row r="167" spans="1:17" ht="49.5" customHeight="1" x14ac:dyDescent="0.2">
      <c r="A167" s="42"/>
      <c r="B167" s="119" t="s">
        <v>214</v>
      </c>
      <c r="C167" s="44" t="s">
        <v>215</v>
      </c>
      <c r="D167" s="45"/>
      <c r="E167" s="105"/>
      <c r="F167" s="46"/>
      <c r="G167" s="46">
        <f>SUM(G168)</f>
        <v>1506.9</v>
      </c>
      <c r="H167" s="46">
        <f>SUM(G167)</f>
        <v>1506.9</v>
      </c>
      <c r="I167" s="47"/>
      <c r="J167" s="88"/>
      <c r="K167" s="47"/>
      <c r="L167" s="46"/>
      <c r="M167" s="46">
        <f t="shared" si="33"/>
        <v>1506.9</v>
      </c>
      <c r="N167" s="46">
        <f t="shared" si="33"/>
        <v>1506.9</v>
      </c>
      <c r="O167" s="94"/>
      <c r="P167" s="94"/>
    </row>
    <row r="168" spans="1:17" ht="63" x14ac:dyDescent="0.2">
      <c r="A168" s="42"/>
      <c r="B168" s="120" t="s">
        <v>216</v>
      </c>
      <c r="C168" s="44" t="s">
        <v>217</v>
      </c>
      <c r="D168" s="45"/>
      <c r="E168" s="105"/>
      <c r="F168" s="46"/>
      <c r="G168" s="46">
        <f>SUM(G169)</f>
        <v>1506.9</v>
      </c>
      <c r="H168" s="46">
        <f>SUM(G168)</f>
        <v>1506.9</v>
      </c>
      <c r="I168" s="47"/>
      <c r="J168" s="88"/>
      <c r="K168" s="47"/>
      <c r="L168" s="46"/>
      <c r="M168" s="46">
        <f t="shared" si="33"/>
        <v>1506.9</v>
      </c>
      <c r="N168" s="46">
        <f t="shared" si="33"/>
        <v>1506.9</v>
      </c>
      <c r="O168" s="94"/>
      <c r="P168" s="94"/>
    </row>
    <row r="169" spans="1:17" ht="31.5" x14ac:dyDescent="0.2">
      <c r="A169" s="42"/>
      <c r="B169" s="43" t="s">
        <v>74</v>
      </c>
      <c r="C169" s="44" t="s">
        <v>217</v>
      </c>
      <c r="D169" s="45" t="s">
        <v>42</v>
      </c>
      <c r="E169" s="105"/>
      <c r="F169" s="46"/>
      <c r="G169" s="46">
        <v>1506.9</v>
      </c>
      <c r="H169" s="46">
        <f>SUM(G169)</f>
        <v>1506.9</v>
      </c>
      <c r="I169" s="47"/>
      <c r="J169" s="88"/>
      <c r="K169" s="47"/>
      <c r="L169" s="46"/>
      <c r="M169" s="46">
        <f t="shared" si="33"/>
        <v>1506.9</v>
      </c>
      <c r="N169" s="46">
        <f t="shared" si="33"/>
        <v>1506.9</v>
      </c>
      <c r="O169" s="94"/>
      <c r="P169" s="94"/>
    </row>
    <row r="170" spans="1:17" ht="31.5" x14ac:dyDescent="0.2">
      <c r="A170" s="19" t="s">
        <v>218</v>
      </c>
      <c r="B170" s="20" t="s">
        <v>219</v>
      </c>
      <c r="C170" s="21" t="s">
        <v>220</v>
      </c>
      <c r="D170" s="22" t="s">
        <v>26</v>
      </c>
      <c r="E170" s="104"/>
      <c r="F170" s="23">
        <f>F175+F180+F185+F189+F171</f>
        <v>5351.2000000000007</v>
      </c>
      <c r="G170" s="23">
        <f>G175+G180+G185+G189+G171</f>
        <v>1514.2</v>
      </c>
      <c r="H170" s="23">
        <f>H175+H180+H185+H189+H171</f>
        <v>6865.4000000000005</v>
      </c>
      <c r="I170" s="24">
        <f>I175+I180+I185+I189</f>
        <v>9262.4</v>
      </c>
      <c r="J170" s="23">
        <f>J175+J180+J185+J189+J171</f>
        <v>0</v>
      </c>
      <c r="K170" s="24">
        <f>K175+K180+K185+K189</f>
        <v>9262.4</v>
      </c>
      <c r="L170" s="23">
        <f>L175+L180+L185+L189+L171</f>
        <v>14613.6</v>
      </c>
      <c r="M170" s="23">
        <f>M175+M180+M185+M189+M171</f>
        <v>1514.2</v>
      </c>
      <c r="N170" s="23">
        <f>N175+N180+N185+N189+N171</f>
        <v>16127.800000000001</v>
      </c>
      <c r="O170" s="93"/>
      <c r="P170" s="93"/>
      <c r="Q170" s="25"/>
    </row>
    <row r="171" spans="1:17" ht="15.75" x14ac:dyDescent="0.2">
      <c r="A171" s="19"/>
      <c r="B171" s="50" t="s">
        <v>221</v>
      </c>
      <c r="C171" s="51" t="s">
        <v>222</v>
      </c>
      <c r="D171" s="52"/>
      <c r="E171" s="106"/>
      <c r="F171" s="53">
        <v>400</v>
      </c>
      <c r="G171" s="46">
        <f>SUM(G172)</f>
        <v>1514.2</v>
      </c>
      <c r="H171" s="46">
        <f>400+G171</f>
        <v>1914.2</v>
      </c>
      <c r="I171" s="54"/>
      <c r="J171" s="87"/>
      <c r="K171" s="54"/>
      <c r="L171" s="53">
        <v>400</v>
      </c>
      <c r="M171" s="53">
        <f>SUM(M172)</f>
        <v>1514.2</v>
      </c>
      <c r="N171" s="46">
        <f>400+M171</f>
        <v>1914.2</v>
      </c>
      <c r="O171" s="95"/>
      <c r="P171" s="95"/>
      <c r="Q171" s="25"/>
    </row>
    <row r="172" spans="1:17" ht="19.149999999999999" customHeight="1" x14ac:dyDescent="0.2">
      <c r="A172" s="19"/>
      <c r="B172" s="43" t="s">
        <v>223</v>
      </c>
      <c r="C172" s="44" t="s">
        <v>224</v>
      </c>
      <c r="D172" s="45"/>
      <c r="E172" s="105"/>
      <c r="F172" s="46">
        <v>400</v>
      </c>
      <c r="G172" s="46">
        <f>SUM(G173)</f>
        <v>1514.2</v>
      </c>
      <c r="H172" s="46">
        <f>400+G172</f>
        <v>1914.2</v>
      </c>
      <c r="I172" s="47"/>
      <c r="J172" s="88"/>
      <c r="K172" s="47"/>
      <c r="L172" s="46">
        <v>400</v>
      </c>
      <c r="M172" s="46">
        <f>SUM(M173)</f>
        <v>1514.2</v>
      </c>
      <c r="N172" s="46">
        <f>400+M172</f>
        <v>1914.2</v>
      </c>
      <c r="O172" s="94"/>
      <c r="P172" s="94"/>
      <c r="Q172" s="25"/>
    </row>
    <row r="173" spans="1:17" ht="15.75" x14ac:dyDescent="0.2">
      <c r="A173" s="19"/>
      <c r="B173" s="43" t="s">
        <v>67</v>
      </c>
      <c r="C173" s="44" t="s">
        <v>225</v>
      </c>
      <c r="D173" s="45"/>
      <c r="E173" s="105"/>
      <c r="F173" s="46">
        <v>400</v>
      </c>
      <c r="G173" s="46">
        <f>SUM(G174)</f>
        <v>1514.2</v>
      </c>
      <c r="H173" s="46">
        <f>400+G173</f>
        <v>1914.2</v>
      </c>
      <c r="I173" s="47"/>
      <c r="J173" s="88"/>
      <c r="K173" s="47"/>
      <c r="L173" s="46">
        <v>400</v>
      </c>
      <c r="M173" s="46">
        <f>SUM(M174)</f>
        <v>1514.2</v>
      </c>
      <c r="N173" s="46">
        <f>400+M173</f>
        <v>1914.2</v>
      </c>
      <c r="O173" s="94"/>
      <c r="P173" s="94"/>
      <c r="Q173" s="25"/>
    </row>
    <row r="174" spans="1:17" ht="31.5" x14ac:dyDescent="0.2">
      <c r="A174" s="19"/>
      <c r="B174" s="43" t="s">
        <v>35</v>
      </c>
      <c r="C174" s="44" t="s">
        <v>225</v>
      </c>
      <c r="D174" s="45" t="s">
        <v>36</v>
      </c>
      <c r="E174" s="105"/>
      <c r="F174" s="46">
        <v>400</v>
      </c>
      <c r="G174" s="46">
        <v>1514.2</v>
      </c>
      <c r="H174" s="46">
        <f>400+G174</f>
        <v>1914.2</v>
      </c>
      <c r="I174" s="47"/>
      <c r="J174" s="88"/>
      <c r="K174" s="47"/>
      <c r="L174" s="46">
        <v>400</v>
      </c>
      <c r="M174" s="46">
        <f>SUM(G174)</f>
        <v>1514.2</v>
      </c>
      <c r="N174" s="46">
        <f>400+M174</f>
        <v>1914.2</v>
      </c>
      <c r="O174" s="94"/>
      <c r="P174" s="94"/>
      <c r="Q174" s="25"/>
    </row>
    <row r="175" spans="1:17" ht="31.5" x14ac:dyDescent="0.2">
      <c r="A175" s="49"/>
      <c r="B175" s="72" t="s">
        <v>226</v>
      </c>
      <c r="C175" s="73" t="s">
        <v>227</v>
      </c>
      <c r="D175" s="74" t="s">
        <v>26</v>
      </c>
      <c r="E175" s="107"/>
      <c r="F175" s="75">
        <f t="shared" ref="F175:N176" si="34">F176</f>
        <v>330</v>
      </c>
      <c r="G175" s="75">
        <f t="shared" si="34"/>
        <v>0</v>
      </c>
      <c r="H175" s="75">
        <f t="shared" si="34"/>
        <v>330</v>
      </c>
      <c r="I175" s="76">
        <f t="shared" si="34"/>
        <v>0</v>
      </c>
      <c r="J175" s="112"/>
      <c r="K175" s="76">
        <f t="shared" si="34"/>
        <v>0</v>
      </c>
      <c r="L175" s="75">
        <f t="shared" si="34"/>
        <v>330</v>
      </c>
      <c r="M175" s="75">
        <f t="shared" si="34"/>
        <v>0</v>
      </c>
      <c r="N175" s="75">
        <f t="shared" si="34"/>
        <v>330</v>
      </c>
      <c r="O175" s="96"/>
      <c r="P175" s="96"/>
    </row>
    <row r="176" spans="1:17" ht="31.5" x14ac:dyDescent="0.2">
      <c r="A176" s="42"/>
      <c r="B176" s="43" t="s">
        <v>228</v>
      </c>
      <c r="C176" s="44" t="s">
        <v>229</v>
      </c>
      <c r="D176" s="45" t="s">
        <v>26</v>
      </c>
      <c r="E176" s="105"/>
      <c r="F176" s="46">
        <f t="shared" si="34"/>
        <v>330</v>
      </c>
      <c r="G176" s="46">
        <f t="shared" si="34"/>
        <v>0</v>
      </c>
      <c r="H176" s="46">
        <f t="shared" si="34"/>
        <v>330</v>
      </c>
      <c r="I176" s="47">
        <f t="shared" si="34"/>
        <v>0</v>
      </c>
      <c r="J176" s="88"/>
      <c r="K176" s="47">
        <f t="shared" si="34"/>
        <v>0</v>
      </c>
      <c r="L176" s="46">
        <f t="shared" si="34"/>
        <v>330</v>
      </c>
      <c r="M176" s="46">
        <f t="shared" si="34"/>
        <v>0</v>
      </c>
      <c r="N176" s="46">
        <f t="shared" si="34"/>
        <v>330</v>
      </c>
      <c r="O176" s="94"/>
      <c r="P176" s="94"/>
    </row>
    <row r="177" spans="1:16" ht="31.5" x14ac:dyDescent="0.2">
      <c r="A177" s="42"/>
      <c r="B177" s="43" t="s">
        <v>226</v>
      </c>
      <c r="C177" s="44" t="s">
        <v>230</v>
      </c>
      <c r="D177" s="45" t="s">
        <v>26</v>
      </c>
      <c r="E177" s="105"/>
      <c r="F177" s="46">
        <f>F179+F178</f>
        <v>330</v>
      </c>
      <c r="G177" s="46">
        <f>G179+G178</f>
        <v>0</v>
      </c>
      <c r="H177" s="46">
        <f>H179+H178</f>
        <v>330</v>
      </c>
      <c r="I177" s="47">
        <f>I179+I178</f>
        <v>0</v>
      </c>
      <c r="J177" s="88"/>
      <c r="K177" s="47">
        <f>K179+K178</f>
        <v>0</v>
      </c>
      <c r="L177" s="46">
        <f>L179+L178</f>
        <v>330</v>
      </c>
      <c r="M177" s="46">
        <f>M179+M178</f>
        <v>0</v>
      </c>
      <c r="N177" s="46">
        <f>N179+N178</f>
        <v>330</v>
      </c>
      <c r="O177" s="97"/>
      <c r="P177" s="97"/>
    </row>
    <row r="178" spans="1:16" ht="31.5" x14ac:dyDescent="0.2">
      <c r="A178" s="42"/>
      <c r="B178" s="43" t="s">
        <v>35</v>
      </c>
      <c r="C178" s="44" t="s">
        <v>230</v>
      </c>
      <c r="D178" s="45" t="s">
        <v>36</v>
      </c>
      <c r="E178" s="105"/>
      <c r="F178" s="46">
        <v>200</v>
      </c>
      <c r="G178" s="46"/>
      <c r="H178" s="46">
        <v>200</v>
      </c>
      <c r="I178" s="47">
        <v>0</v>
      </c>
      <c r="J178" s="88"/>
      <c r="K178" s="47">
        <v>0</v>
      </c>
      <c r="L178" s="46">
        <v>200</v>
      </c>
      <c r="M178" s="46"/>
      <c r="N178" s="46">
        <v>200</v>
      </c>
      <c r="O178" s="94"/>
      <c r="P178" s="94"/>
    </row>
    <row r="179" spans="1:16" ht="15.75" x14ac:dyDescent="0.2">
      <c r="A179" s="42"/>
      <c r="B179" s="43" t="s">
        <v>41</v>
      </c>
      <c r="C179" s="44" t="s">
        <v>230</v>
      </c>
      <c r="D179" s="45" t="s">
        <v>42</v>
      </c>
      <c r="E179" s="105"/>
      <c r="F179" s="46">
        <v>130</v>
      </c>
      <c r="G179" s="46"/>
      <c r="H179" s="46">
        <v>130</v>
      </c>
      <c r="I179" s="47">
        <v>0</v>
      </c>
      <c r="J179" s="88"/>
      <c r="K179" s="47">
        <v>0</v>
      </c>
      <c r="L179" s="46">
        <v>130</v>
      </c>
      <c r="M179" s="46"/>
      <c r="N179" s="46">
        <v>130</v>
      </c>
      <c r="O179" s="94"/>
      <c r="P179" s="94"/>
    </row>
    <row r="180" spans="1:16" ht="22.15" customHeight="1" x14ac:dyDescent="0.2">
      <c r="A180" s="49"/>
      <c r="B180" s="50" t="s">
        <v>231</v>
      </c>
      <c r="C180" s="51" t="s">
        <v>232</v>
      </c>
      <c r="D180" s="52" t="s">
        <v>26</v>
      </c>
      <c r="E180" s="106"/>
      <c r="F180" s="53">
        <f t="shared" ref="F180:N181" si="35">F181</f>
        <v>3933.6</v>
      </c>
      <c r="G180" s="53">
        <f t="shared" si="35"/>
        <v>0</v>
      </c>
      <c r="H180" s="53">
        <f t="shared" si="35"/>
        <v>3933.6</v>
      </c>
      <c r="I180" s="54">
        <f t="shared" si="35"/>
        <v>0</v>
      </c>
      <c r="J180" s="53">
        <f t="shared" si="35"/>
        <v>0</v>
      </c>
      <c r="K180" s="54">
        <f t="shared" si="35"/>
        <v>0</v>
      </c>
      <c r="L180" s="53">
        <f t="shared" si="35"/>
        <v>3933.6</v>
      </c>
      <c r="M180" s="53">
        <f t="shared" si="35"/>
        <v>0</v>
      </c>
      <c r="N180" s="53">
        <f t="shared" si="35"/>
        <v>3933.6</v>
      </c>
      <c r="O180" s="95"/>
      <c r="P180" s="95"/>
    </row>
    <row r="181" spans="1:16" ht="34.9" customHeight="1" x14ac:dyDescent="0.2">
      <c r="A181" s="42"/>
      <c r="B181" s="43" t="s">
        <v>233</v>
      </c>
      <c r="C181" s="44" t="s">
        <v>234</v>
      </c>
      <c r="D181" s="45" t="s">
        <v>26</v>
      </c>
      <c r="E181" s="105"/>
      <c r="F181" s="46">
        <f t="shared" si="35"/>
        <v>3933.6</v>
      </c>
      <c r="G181" s="46">
        <f t="shared" si="35"/>
        <v>0</v>
      </c>
      <c r="H181" s="46">
        <f t="shared" si="35"/>
        <v>3933.6</v>
      </c>
      <c r="I181" s="47">
        <f t="shared" si="35"/>
        <v>0</v>
      </c>
      <c r="J181" s="88"/>
      <c r="K181" s="47">
        <f t="shared" si="35"/>
        <v>0</v>
      </c>
      <c r="L181" s="46">
        <f t="shared" si="35"/>
        <v>3933.6</v>
      </c>
      <c r="M181" s="46">
        <f t="shared" si="35"/>
        <v>0</v>
      </c>
      <c r="N181" s="46">
        <f t="shared" si="35"/>
        <v>3933.6</v>
      </c>
      <c r="O181" s="94"/>
      <c r="P181" s="94"/>
    </row>
    <row r="182" spans="1:16" ht="31.5" x14ac:dyDescent="0.2">
      <c r="A182" s="42"/>
      <c r="B182" s="43" t="s">
        <v>39</v>
      </c>
      <c r="C182" s="44" t="s">
        <v>235</v>
      </c>
      <c r="D182" s="45" t="s">
        <v>26</v>
      </c>
      <c r="E182" s="105"/>
      <c r="F182" s="46">
        <f>F183+F184</f>
        <v>3933.6</v>
      </c>
      <c r="G182" s="46">
        <f>G183+G184</f>
        <v>0</v>
      </c>
      <c r="H182" s="46">
        <f>H183+H184</f>
        <v>3933.6</v>
      </c>
      <c r="I182" s="47">
        <f>I183+I184</f>
        <v>0</v>
      </c>
      <c r="J182" s="88"/>
      <c r="K182" s="47">
        <f>K183+K184</f>
        <v>0</v>
      </c>
      <c r="L182" s="46">
        <f>L183+L184</f>
        <v>3933.6</v>
      </c>
      <c r="M182" s="46">
        <f>M183+M184</f>
        <v>0</v>
      </c>
      <c r="N182" s="46">
        <f>N183+N184</f>
        <v>3933.6</v>
      </c>
      <c r="O182" s="94"/>
      <c r="P182" s="94"/>
    </row>
    <row r="183" spans="1:16" ht="66" customHeight="1" x14ac:dyDescent="0.2">
      <c r="A183" s="42"/>
      <c r="B183" s="43" t="s">
        <v>31</v>
      </c>
      <c r="C183" s="44" t="s">
        <v>235</v>
      </c>
      <c r="D183" s="45" t="s">
        <v>32</v>
      </c>
      <c r="E183" s="105"/>
      <c r="F183" s="46">
        <v>3788.1</v>
      </c>
      <c r="G183" s="46"/>
      <c r="H183" s="46">
        <v>3788.1</v>
      </c>
      <c r="I183" s="47">
        <v>0</v>
      </c>
      <c r="J183" s="88"/>
      <c r="K183" s="47">
        <v>0</v>
      </c>
      <c r="L183" s="46">
        <v>3788.1</v>
      </c>
      <c r="M183" s="46"/>
      <c r="N183" s="46">
        <v>3788.1</v>
      </c>
      <c r="O183" s="94"/>
      <c r="P183" s="94"/>
    </row>
    <row r="184" spans="1:16" ht="31.5" x14ac:dyDescent="0.2">
      <c r="A184" s="42"/>
      <c r="B184" s="43" t="s">
        <v>35</v>
      </c>
      <c r="C184" s="44" t="s">
        <v>235</v>
      </c>
      <c r="D184" s="45" t="s">
        <v>36</v>
      </c>
      <c r="E184" s="105"/>
      <c r="F184" s="46">
        <v>145.5</v>
      </c>
      <c r="G184" s="46"/>
      <c r="H184" s="46">
        <v>145.5</v>
      </c>
      <c r="I184" s="47">
        <v>0</v>
      </c>
      <c r="J184" s="88"/>
      <c r="K184" s="47">
        <v>0</v>
      </c>
      <c r="L184" s="46">
        <v>145.5</v>
      </c>
      <c r="M184" s="46"/>
      <c r="N184" s="46">
        <v>145.5</v>
      </c>
      <c r="O184" s="94"/>
      <c r="P184" s="94"/>
    </row>
    <row r="185" spans="1:16" ht="48.6" customHeight="1" x14ac:dyDescent="0.2">
      <c r="A185" s="49"/>
      <c r="B185" s="50" t="s">
        <v>236</v>
      </c>
      <c r="C185" s="51" t="s">
        <v>237</v>
      </c>
      <c r="D185" s="52" t="s">
        <v>26</v>
      </c>
      <c r="E185" s="106"/>
      <c r="F185" s="53">
        <f t="shared" ref="F185:N187" si="36">F186</f>
        <v>200</v>
      </c>
      <c r="G185" s="53">
        <f t="shared" si="36"/>
        <v>0</v>
      </c>
      <c r="H185" s="53">
        <f t="shared" si="36"/>
        <v>200</v>
      </c>
      <c r="I185" s="54">
        <f t="shared" si="36"/>
        <v>0</v>
      </c>
      <c r="J185" s="53">
        <f>J186</f>
        <v>0</v>
      </c>
      <c r="K185" s="54">
        <f t="shared" si="36"/>
        <v>0</v>
      </c>
      <c r="L185" s="53">
        <f t="shared" si="36"/>
        <v>200</v>
      </c>
      <c r="M185" s="53">
        <f t="shared" si="36"/>
        <v>0</v>
      </c>
      <c r="N185" s="53">
        <f t="shared" si="36"/>
        <v>200</v>
      </c>
      <c r="O185" s="95"/>
      <c r="P185" s="95"/>
    </row>
    <row r="186" spans="1:16" ht="33.6" customHeight="1" x14ac:dyDescent="0.2">
      <c r="A186" s="42"/>
      <c r="B186" s="43" t="s">
        <v>238</v>
      </c>
      <c r="C186" s="44" t="s">
        <v>239</v>
      </c>
      <c r="D186" s="45" t="s">
        <v>26</v>
      </c>
      <c r="E186" s="105"/>
      <c r="F186" s="46">
        <f t="shared" si="36"/>
        <v>200</v>
      </c>
      <c r="G186" s="46">
        <f t="shared" si="36"/>
        <v>0</v>
      </c>
      <c r="H186" s="46">
        <f t="shared" si="36"/>
        <v>200</v>
      </c>
      <c r="I186" s="47">
        <f t="shared" si="36"/>
        <v>0</v>
      </c>
      <c r="J186" s="88"/>
      <c r="K186" s="47">
        <f t="shared" si="36"/>
        <v>0</v>
      </c>
      <c r="L186" s="46">
        <f t="shared" si="36"/>
        <v>200</v>
      </c>
      <c r="M186" s="46">
        <f t="shared" si="36"/>
        <v>0</v>
      </c>
      <c r="N186" s="46">
        <f t="shared" si="36"/>
        <v>200</v>
      </c>
      <c r="O186" s="94"/>
      <c r="P186" s="94"/>
    </row>
    <row r="187" spans="1:16" ht="15.75" x14ac:dyDescent="0.2">
      <c r="A187" s="42"/>
      <c r="B187" s="43" t="s">
        <v>240</v>
      </c>
      <c r="C187" s="44" t="s">
        <v>241</v>
      </c>
      <c r="D187" s="45" t="s">
        <v>26</v>
      </c>
      <c r="E187" s="105"/>
      <c r="F187" s="46">
        <f t="shared" si="36"/>
        <v>200</v>
      </c>
      <c r="G187" s="46">
        <f t="shared" si="36"/>
        <v>0</v>
      </c>
      <c r="H187" s="46">
        <f t="shared" si="36"/>
        <v>200</v>
      </c>
      <c r="I187" s="47">
        <f t="shared" si="36"/>
        <v>0</v>
      </c>
      <c r="J187" s="88"/>
      <c r="K187" s="47">
        <f t="shared" si="36"/>
        <v>0</v>
      </c>
      <c r="L187" s="46">
        <f t="shared" si="36"/>
        <v>200</v>
      </c>
      <c r="M187" s="46">
        <f t="shared" si="36"/>
        <v>0</v>
      </c>
      <c r="N187" s="46">
        <f t="shared" si="36"/>
        <v>200</v>
      </c>
      <c r="O187" s="94"/>
      <c r="P187" s="94"/>
    </row>
    <row r="188" spans="1:16" ht="31.5" x14ac:dyDescent="0.2">
      <c r="A188" s="42"/>
      <c r="B188" s="43" t="s">
        <v>35</v>
      </c>
      <c r="C188" s="44" t="s">
        <v>241</v>
      </c>
      <c r="D188" s="45" t="s">
        <v>36</v>
      </c>
      <c r="E188" s="105"/>
      <c r="F188" s="46">
        <v>200</v>
      </c>
      <c r="G188" s="46"/>
      <c r="H188" s="46">
        <v>200</v>
      </c>
      <c r="I188" s="47">
        <v>0</v>
      </c>
      <c r="J188" s="88"/>
      <c r="K188" s="47">
        <v>0</v>
      </c>
      <c r="L188" s="46">
        <v>200</v>
      </c>
      <c r="M188" s="46"/>
      <c r="N188" s="46">
        <v>200</v>
      </c>
      <c r="O188" s="94"/>
      <c r="P188" s="94"/>
    </row>
    <row r="189" spans="1:16" ht="15.75" x14ac:dyDescent="0.2">
      <c r="A189" s="49"/>
      <c r="B189" s="50" t="s">
        <v>140</v>
      </c>
      <c r="C189" s="51" t="s">
        <v>242</v>
      </c>
      <c r="D189" s="52" t="s">
        <v>26</v>
      </c>
      <c r="E189" s="106"/>
      <c r="F189" s="53">
        <f t="shared" ref="F189:N191" si="37">F190</f>
        <v>487.6</v>
      </c>
      <c r="G189" s="53">
        <f t="shared" si="37"/>
        <v>0</v>
      </c>
      <c r="H189" s="53">
        <f t="shared" si="37"/>
        <v>487.6</v>
      </c>
      <c r="I189" s="54">
        <f t="shared" si="37"/>
        <v>9262.4</v>
      </c>
      <c r="J189" s="53">
        <f>J190</f>
        <v>0</v>
      </c>
      <c r="K189" s="54">
        <f t="shared" si="37"/>
        <v>9262.4</v>
      </c>
      <c r="L189" s="53">
        <f t="shared" si="37"/>
        <v>9750</v>
      </c>
      <c r="M189" s="53">
        <f t="shared" si="37"/>
        <v>0</v>
      </c>
      <c r="N189" s="53">
        <f t="shared" si="37"/>
        <v>9750</v>
      </c>
      <c r="O189" s="95"/>
      <c r="P189" s="95"/>
    </row>
    <row r="190" spans="1:16" ht="31.5" x14ac:dyDescent="0.2">
      <c r="A190" s="42"/>
      <c r="B190" s="43" t="s">
        <v>243</v>
      </c>
      <c r="C190" s="44" t="s">
        <v>244</v>
      </c>
      <c r="D190" s="45" t="s">
        <v>26</v>
      </c>
      <c r="E190" s="105"/>
      <c r="F190" s="46">
        <f t="shared" si="37"/>
        <v>487.6</v>
      </c>
      <c r="G190" s="46">
        <f t="shared" si="37"/>
        <v>0</v>
      </c>
      <c r="H190" s="46">
        <f t="shared" si="37"/>
        <v>487.6</v>
      </c>
      <c r="I190" s="47">
        <f t="shared" si="37"/>
        <v>9262.4</v>
      </c>
      <c r="J190" s="88"/>
      <c r="K190" s="47">
        <f t="shared" si="37"/>
        <v>9262.4</v>
      </c>
      <c r="L190" s="46">
        <f t="shared" si="37"/>
        <v>9750</v>
      </c>
      <c r="M190" s="46">
        <f t="shared" si="37"/>
        <v>0</v>
      </c>
      <c r="N190" s="46">
        <f t="shared" si="37"/>
        <v>9750</v>
      </c>
      <c r="O190" s="94"/>
      <c r="P190" s="94"/>
    </row>
    <row r="191" spans="1:16" ht="69.599999999999994" customHeight="1" x14ac:dyDescent="0.2">
      <c r="A191" s="42"/>
      <c r="B191" s="43" t="s">
        <v>245</v>
      </c>
      <c r="C191" s="44" t="s">
        <v>246</v>
      </c>
      <c r="D191" s="45" t="s">
        <v>26</v>
      </c>
      <c r="E191" s="105"/>
      <c r="F191" s="46">
        <f t="shared" si="37"/>
        <v>487.6</v>
      </c>
      <c r="G191" s="46">
        <f t="shared" si="37"/>
        <v>0</v>
      </c>
      <c r="H191" s="46">
        <f t="shared" si="37"/>
        <v>487.6</v>
      </c>
      <c r="I191" s="47">
        <f t="shared" si="37"/>
        <v>9262.4</v>
      </c>
      <c r="J191" s="88"/>
      <c r="K191" s="47">
        <f t="shared" si="37"/>
        <v>9262.4</v>
      </c>
      <c r="L191" s="46">
        <f t="shared" si="37"/>
        <v>9750</v>
      </c>
      <c r="M191" s="46">
        <f t="shared" si="37"/>
        <v>0</v>
      </c>
      <c r="N191" s="46">
        <f t="shared" si="37"/>
        <v>9750</v>
      </c>
      <c r="O191" s="94"/>
      <c r="P191" s="94"/>
    </row>
    <row r="192" spans="1:16" ht="31.5" x14ac:dyDescent="0.2">
      <c r="A192" s="42"/>
      <c r="B192" s="43" t="s">
        <v>131</v>
      </c>
      <c r="C192" s="44" t="s">
        <v>246</v>
      </c>
      <c r="D192" s="45" t="s">
        <v>132</v>
      </c>
      <c r="E192" s="105"/>
      <c r="F192" s="46">
        <v>487.6</v>
      </c>
      <c r="G192" s="46"/>
      <c r="H192" s="46">
        <f>487.6+G192</f>
        <v>487.6</v>
      </c>
      <c r="I192" s="47">
        <v>9262.4</v>
      </c>
      <c r="J192" s="88"/>
      <c r="K192" s="47">
        <v>9262.4</v>
      </c>
      <c r="L192" s="46">
        <f>487.6+I192</f>
        <v>9750</v>
      </c>
      <c r="M192" s="46">
        <f>SUM(G192)</f>
        <v>0</v>
      </c>
      <c r="N192" s="46">
        <f>487.6+K192+M192</f>
        <v>9750</v>
      </c>
      <c r="O192" s="94"/>
      <c r="P192" s="94"/>
    </row>
    <row r="193" spans="1:17" ht="31.5" x14ac:dyDescent="0.2">
      <c r="A193" s="19" t="s">
        <v>247</v>
      </c>
      <c r="B193" s="20" t="s">
        <v>248</v>
      </c>
      <c r="C193" s="21" t="s">
        <v>249</v>
      </c>
      <c r="D193" s="22" t="s">
        <v>26</v>
      </c>
      <c r="E193" s="104"/>
      <c r="F193" s="23">
        <f t="shared" ref="F193:N193" si="38">F194+F198</f>
        <v>5236</v>
      </c>
      <c r="G193" s="23">
        <f t="shared" si="38"/>
        <v>0</v>
      </c>
      <c r="H193" s="23">
        <f t="shared" si="38"/>
        <v>5236</v>
      </c>
      <c r="I193" s="24">
        <f t="shared" si="38"/>
        <v>0</v>
      </c>
      <c r="J193" s="23">
        <f t="shared" si="38"/>
        <v>0</v>
      </c>
      <c r="K193" s="24">
        <f t="shared" si="38"/>
        <v>0</v>
      </c>
      <c r="L193" s="23">
        <f t="shared" si="38"/>
        <v>5236</v>
      </c>
      <c r="M193" s="23">
        <f t="shared" si="38"/>
        <v>0</v>
      </c>
      <c r="N193" s="23">
        <f t="shared" si="38"/>
        <v>5236</v>
      </c>
      <c r="O193" s="93"/>
      <c r="P193" s="93"/>
    </row>
    <row r="194" spans="1:17" ht="15.75" x14ac:dyDescent="0.2">
      <c r="A194" s="49"/>
      <c r="B194" s="50" t="s">
        <v>250</v>
      </c>
      <c r="C194" s="51" t="s">
        <v>251</v>
      </c>
      <c r="D194" s="52" t="s">
        <v>26</v>
      </c>
      <c r="E194" s="106"/>
      <c r="F194" s="53">
        <f t="shared" ref="F194:N196" si="39">F195</f>
        <v>3500</v>
      </c>
      <c r="G194" s="53">
        <f t="shared" si="39"/>
        <v>0</v>
      </c>
      <c r="H194" s="53">
        <f t="shared" si="39"/>
        <v>3500</v>
      </c>
      <c r="I194" s="54">
        <f t="shared" si="39"/>
        <v>0</v>
      </c>
      <c r="J194" s="53">
        <f>J195</f>
        <v>0</v>
      </c>
      <c r="K194" s="54">
        <f t="shared" si="39"/>
        <v>0</v>
      </c>
      <c r="L194" s="53">
        <f t="shared" si="39"/>
        <v>3500</v>
      </c>
      <c r="M194" s="53">
        <f t="shared" si="39"/>
        <v>0</v>
      </c>
      <c r="N194" s="53">
        <f t="shared" si="39"/>
        <v>3500</v>
      </c>
      <c r="O194" s="95"/>
      <c r="P194" s="95"/>
    </row>
    <row r="195" spans="1:17" ht="31.5" x14ac:dyDescent="0.2">
      <c r="A195" s="42"/>
      <c r="B195" s="43" t="s">
        <v>252</v>
      </c>
      <c r="C195" s="44" t="s">
        <v>253</v>
      </c>
      <c r="D195" s="45" t="s">
        <v>26</v>
      </c>
      <c r="E195" s="105"/>
      <c r="F195" s="46">
        <f t="shared" si="39"/>
        <v>3500</v>
      </c>
      <c r="G195" s="46">
        <f t="shared" si="39"/>
        <v>0</v>
      </c>
      <c r="H195" s="46">
        <f t="shared" si="39"/>
        <v>3500</v>
      </c>
      <c r="I195" s="47">
        <f t="shared" si="39"/>
        <v>0</v>
      </c>
      <c r="J195" s="88"/>
      <c r="K195" s="47">
        <f t="shared" si="39"/>
        <v>0</v>
      </c>
      <c r="L195" s="46">
        <f t="shared" si="39"/>
        <v>3500</v>
      </c>
      <c r="M195" s="46">
        <f t="shared" si="39"/>
        <v>0</v>
      </c>
      <c r="N195" s="46">
        <f t="shared" si="39"/>
        <v>3500</v>
      </c>
      <c r="O195" s="94"/>
      <c r="P195" s="94"/>
    </row>
    <row r="196" spans="1:17" ht="31.5" x14ac:dyDescent="0.2">
      <c r="A196" s="42"/>
      <c r="B196" s="43" t="s">
        <v>254</v>
      </c>
      <c r="C196" s="44" t="s">
        <v>255</v>
      </c>
      <c r="D196" s="45" t="s">
        <v>26</v>
      </c>
      <c r="E196" s="105"/>
      <c r="F196" s="46">
        <f t="shared" si="39"/>
        <v>3500</v>
      </c>
      <c r="G196" s="46">
        <f t="shared" si="39"/>
        <v>0</v>
      </c>
      <c r="H196" s="46">
        <f t="shared" si="39"/>
        <v>3500</v>
      </c>
      <c r="I196" s="47">
        <f t="shared" si="39"/>
        <v>0</v>
      </c>
      <c r="J196" s="88"/>
      <c r="K196" s="47">
        <f t="shared" si="39"/>
        <v>0</v>
      </c>
      <c r="L196" s="46">
        <f t="shared" si="39"/>
        <v>3500</v>
      </c>
      <c r="M196" s="46">
        <f t="shared" si="39"/>
        <v>0</v>
      </c>
      <c r="N196" s="46">
        <f t="shared" si="39"/>
        <v>3500</v>
      </c>
      <c r="O196" s="94"/>
      <c r="P196" s="94"/>
    </row>
    <row r="197" spans="1:17" ht="31.5" x14ac:dyDescent="0.2">
      <c r="A197" s="42"/>
      <c r="B197" s="43" t="s">
        <v>35</v>
      </c>
      <c r="C197" s="44" t="s">
        <v>255</v>
      </c>
      <c r="D197" s="45" t="s">
        <v>36</v>
      </c>
      <c r="E197" s="105"/>
      <c r="F197" s="46">
        <v>3500</v>
      </c>
      <c r="G197" s="46"/>
      <c r="H197" s="46">
        <v>3500</v>
      </c>
      <c r="I197" s="47">
        <v>0</v>
      </c>
      <c r="J197" s="88"/>
      <c r="K197" s="47">
        <v>0</v>
      </c>
      <c r="L197" s="46">
        <v>3500</v>
      </c>
      <c r="M197" s="46"/>
      <c r="N197" s="46">
        <v>3500</v>
      </c>
      <c r="O197" s="94"/>
      <c r="P197" s="94"/>
    </row>
    <row r="198" spans="1:17" ht="15.75" x14ac:dyDescent="0.2">
      <c r="A198" s="49"/>
      <c r="B198" s="50" t="s">
        <v>256</v>
      </c>
      <c r="C198" s="51" t="s">
        <v>257</v>
      </c>
      <c r="D198" s="52" t="s">
        <v>26</v>
      </c>
      <c r="E198" s="106"/>
      <c r="F198" s="53">
        <f t="shared" ref="F198:N200" si="40">F199</f>
        <v>1736</v>
      </c>
      <c r="G198" s="53">
        <f t="shared" si="40"/>
        <v>0</v>
      </c>
      <c r="H198" s="53">
        <f t="shared" si="40"/>
        <v>1736</v>
      </c>
      <c r="I198" s="54">
        <f t="shared" si="40"/>
        <v>0</v>
      </c>
      <c r="J198" s="53">
        <f>J199</f>
        <v>0</v>
      </c>
      <c r="K198" s="54">
        <f t="shared" si="40"/>
        <v>0</v>
      </c>
      <c r="L198" s="53">
        <f t="shared" si="40"/>
        <v>1736</v>
      </c>
      <c r="M198" s="53">
        <f t="shared" si="40"/>
        <v>0</v>
      </c>
      <c r="N198" s="53">
        <f t="shared" si="40"/>
        <v>1736</v>
      </c>
      <c r="O198" s="95"/>
      <c r="P198" s="95"/>
    </row>
    <row r="199" spans="1:17" ht="31.5" x14ac:dyDescent="0.2">
      <c r="A199" s="42"/>
      <c r="B199" s="43" t="s">
        <v>258</v>
      </c>
      <c r="C199" s="44" t="s">
        <v>259</v>
      </c>
      <c r="D199" s="45" t="s">
        <v>26</v>
      </c>
      <c r="E199" s="105"/>
      <c r="F199" s="46">
        <f t="shared" si="40"/>
        <v>1736</v>
      </c>
      <c r="G199" s="46">
        <f t="shared" si="40"/>
        <v>0</v>
      </c>
      <c r="H199" s="46">
        <f t="shared" si="40"/>
        <v>1736</v>
      </c>
      <c r="I199" s="47">
        <f t="shared" si="40"/>
        <v>0</v>
      </c>
      <c r="J199" s="88"/>
      <c r="K199" s="47">
        <f t="shared" si="40"/>
        <v>0</v>
      </c>
      <c r="L199" s="46">
        <f t="shared" si="40"/>
        <v>1736</v>
      </c>
      <c r="M199" s="46">
        <f t="shared" si="40"/>
        <v>0</v>
      </c>
      <c r="N199" s="46">
        <f t="shared" si="40"/>
        <v>1736</v>
      </c>
      <c r="O199" s="94"/>
      <c r="P199" s="94"/>
    </row>
    <row r="200" spans="1:17" ht="31.5" x14ac:dyDescent="0.2">
      <c r="A200" s="42"/>
      <c r="B200" s="43" t="s">
        <v>254</v>
      </c>
      <c r="C200" s="44" t="s">
        <v>260</v>
      </c>
      <c r="D200" s="45" t="s">
        <v>26</v>
      </c>
      <c r="E200" s="105"/>
      <c r="F200" s="46">
        <f t="shared" si="40"/>
        <v>1736</v>
      </c>
      <c r="G200" s="46">
        <f t="shared" si="40"/>
        <v>0</v>
      </c>
      <c r="H200" s="46">
        <f t="shared" si="40"/>
        <v>1736</v>
      </c>
      <c r="I200" s="47">
        <f t="shared" si="40"/>
        <v>0</v>
      </c>
      <c r="J200" s="88"/>
      <c r="K200" s="47">
        <f t="shared" si="40"/>
        <v>0</v>
      </c>
      <c r="L200" s="46">
        <f t="shared" si="40"/>
        <v>1736</v>
      </c>
      <c r="M200" s="46">
        <f t="shared" si="40"/>
        <v>0</v>
      </c>
      <c r="N200" s="46">
        <f t="shared" si="40"/>
        <v>1736</v>
      </c>
      <c r="O200" s="94"/>
      <c r="P200" s="94"/>
    </row>
    <row r="201" spans="1:17" ht="63" x14ac:dyDescent="0.2">
      <c r="A201" s="42"/>
      <c r="B201" s="43" t="s">
        <v>261</v>
      </c>
      <c r="C201" s="44" t="s">
        <v>260</v>
      </c>
      <c r="D201" s="45" t="s">
        <v>36</v>
      </c>
      <c r="E201" s="105"/>
      <c r="F201" s="46">
        <v>1736</v>
      </c>
      <c r="G201" s="46"/>
      <c r="H201" s="46">
        <v>1736</v>
      </c>
      <c r="I201" s="47">
        <v>0</v>
      </c>
      <c r="J201" s="88"/>
      <c r="K201" s="47">
        <v>0</v>
      </c>
      <c r="L201" s="46">
        <v>1736</v>
      </c>
      <c r="M201" s="46"/>
      <c r="N201" s="46">
        <v>1736</v>
      </c>
      <c r="O201" s="94"/>
      <c r="P201" s="94"/>
    </row>
    <row r="202" spans="1:17" ht="31.5" x14ac:dyDescent="0.2">
      <c r="A202" s="19" t="s">
        <v>262</v>
      </c>
      <c r="B202" s="20" t="s">
        <v>263</v>
      </c>
      <c r="C202" s="21" t="s">
        <v>264</v>
      </c>
      <c r="D202" s="22" t="s">
        <v>26</v>
      </c>
      <c r="E202" s="104"/>
      <c r="F202" s="23">
        <f t="shared" ref="F202:N202" si="41">F203+F219+F223+F229+F233</f>
        <v>37085.1</v>
      </c>
      <c r="G202" s="23">
        <f t="shared" si="41"/>
        <v>2554.9000000000005</v>
      </c>
      <c r="H202" s="23">
        <f t="shared" si="41"/>
        <v>39640</v>
      </c>
      <c r="I202" s="24">
        <f t="shared" si="41"/>
        <v>0</v>
      </c>
      <c r="J202" s="23">
        <f t="shared" si="41"/>
        <v>0</v>
      </c>
      <c r="K202" s="24">
        <f t="shared" si="41"/>
        <v>0</v>
      </c>
      <c r="L202" s="23">
        <f t="shared" si="41"/>
        <v>37085.1</v>
      </c>
      <c r="M202" s="23">
        <f t="shared" si="41"/>
        <v>2554.9000000000005</v>
      </c>
      <c r="N202" s="23">
        <f t="shared" si="41"/>
        <v>39640</v>
      </c>
      <c r="O202" s="93"/>
      <c r="P202" s="93"/>
      <c r="Q202" s="25"/>
    </row>
    <row r="203" spans="1:17" ht="49.9" customHeight="1" x14ac:dyDescent="0.2">
      <c r="A203" s="49"/>
      <c r="B203" s="50" t="s">
        <v>265</v>
      </c>
      <c r="C203" s="51" t="s">
        <v>266</v>
      </c>
      <c r="D203" s="52" t="s">
        <v>26</v>
      </c>
      <c r="E203" s="106"/>
      <c r="F203" s="53">
        <f t="shared" ref="F203:N203" si="42">F204+F213+F216</f>
        <v>28124.6</v>
      </c>
      <c r="G203" s="53">
        <f t="shared" si="42"/>
        <v>2278.2000000000003</v>
      </c>
      <c r="H203" s="53">
        <f t="shared" si="42"/>
        <v>30402.799999999999</v>
      </c>
      <c r="I203" s="54">
        <f t="shared" si="42"/>
        <v>0</v>
      </c>
      <c r="J203" s="53">
        <f t="shared" si="42"/>
        <v>0</v>
      </c>
      <c r="K203" s="54">
        <f t="shared" si="42"/>
        <v>0</v>
      </c>
      <c r="L203" s="53">
        <f t="shared" si="42"/>
        <v>28124.6</v>
      </c>
      <c r="M203" s="53">
        <f t="shared" si="42"/>
        <v>2278.2000000000003</v>
      </c>
      <c r="N203" s="53">
        <f t="shared" si="42"/>
        <v>30402.799999999999</v>
      </c>
      <c r="O203" s="95"/>
      <c r="P203" s="95"/>
      <c r="Q203" s="55"/>
    </row>
    <row r="204" spans="1:17" ht="50.45" customHeight="1" x14ac:dyDescent="0.2">
      <c r="A204" s="42"/>
      <c r="B204" s="43" t="s">
        <v>267</v>
      </c>
      <c r="C204" s="44" t="s">
        <v>268</v>
      </c>
      <c r="D204" s="45" t="s">
        <v>26</v>
      </c>
      <c r="E204" s="105"/>
      <c r="F204" s="46">
        <f>F205+F209+F211</f>
        <v>13023.900000000001</v>
      </c>
      <c r="G204" s="46">
        <f>G205+G209+G211</f>
        <v>2278.2000000000003</v>
      </c>
      <c r="H204" s="46">
        <f>H205+H209+H211</f>
        <v>15302.1</v>
      </c>
      <c r="I204" s="47">
        <f>I205+I209+I211</f>
        <v>0</v>
      </c>
      <c r="J204" s="88"/>
      <c r="K204" s="47">
        <f>K205+K209+K211</f>
        <v>0</v>
      </c>
      <c r="L204" s="46">
        <f>L205+L209+L211</f>
        <v>13023.900000000001</v>
      </c>
      <c r="M204" s="46">
        <f>M205+M209+M211</f>
        <v>2278.2000000000003</v>
      </c>
      <c r="N204" s="46">
        <f>N205+N209+N211</f>
        <v>15302.1</v>
      </c>
      <c r="O204" s="94"/>
      <c r="P204" s="94"/>
      <c r="Q204" s="48"/>
    </row>
    <row r="205" spans="1:17" ht="31.5" x14ac:dyDescent="0.2">
      <c r="A205" s="42"/>
      <c r="B205" s="43" t="s">
        <v>39</v>
      </c>
      <c r="C205" s="44" t="s">
        <v>269</v>
      </c>
      <c r="D205" s="45" t="s">
        <v>26</v>
      </c>
      <c r="E205" s="105"/>
      <c r="F205" s="46">
        <f>F206+F207+F208</f>
        <v>10295.300000000001</v>
      </c>
      <c r="G205" s="46">
        <f>G206+G207+G208</f>
        <v>441.8</v>
      </c>
      <c r="H205" s="46">
        <f>H206+H207+H208</f>
        <v>10737.1</v>
      </c>
      <c r="I205" s="47">
        <f>I206+I207+I208</f>
        <v>0</v>
      </c>
      <c r="J205" s="88"/>
      <c r="K205" s="47">
        <f>K206+K207+K208</f>
        <v>0</v>
      </c>
      <c r="L205" s="46">
        <f>L206+L207+L208</f>
        <v>10295.300000000001</v>
      </c>
      <c r="M205" s="46">
        <f>M206+M207+M208</f>
        <v>441.8</v>
      </c>
      <c r="N205" s="46">
        <f>N206+N207+N208</f>
        <v>10737.1</v>
      </c>
      <c r="O205" s="94"/>
      <c r="P205" s="94"/>
    </row>
    <row r="206" spans="1:17" ht="64.900000000000006" customHeight="1" x14ac:dyDescent="0.2">
      <c r="A206" s="42"/>
      <c r="B206" s="43" t="s">
        <v>31</v>
      </c>
      <c r="C206" s="44" t="s">
        <v>269</v>
      </c>
      <c r="D206" s="45" t="s">
        <v>32</v>
      </c>
      <c r="E206" s="105"/>
      <c r="F206" s="46">
        <v>9246.2000000000007</v>
      </c>
      <c r="G206" s="46">
        <v>128.5</v>
      </c>
      <c r="H206" s="46">
        <f>9246.2+G206</f>
        <v>9374.7000000000007</v>
      </c>
      <c r="I206" s="47">
        <v>0</v>
      </c>
      <c r="J206" s="88"/>
      <c r="K206" s="47">
        <v>0</v>
      </c>
      <c r="L206" s="46">
        <v>9246.2000000000007</v>
      </c>
      <c r="M206" s="46">
        <f>SUM(G206)</f>
        <v>128.5</v>
      </c>
      <c r="N206" s="46">
        <f>9246.2+M206</f>
        <v>9374.7000000000007</v>
      </c>
      <c r="O206" s="94"/>
      <c r="P206" s="94"/>
    </row>
    <row r="207" spans="1:17" ht="31.5" x14ac:dyDescent="0.2">
      <c r="A207" s="42"/>
      <c r="B207" s="43" t="s">
        <v>35</v>
      </c>
      <c r="C207" s="44" t="s">
        <v>269</v>
      </c>
      <c r="D207" s="45" t="s">
        <v>36</v>
      </c>
      <c r="E207" s="105"/>
      <c r="F207" s="46">
        <v>1026.0999999999999</v>
      </c>
      <c r="G207" s="46">
        <f>296+17.3</f>
        <v>313.3</v>
      </c>
      <c r="H207" s="46">
        <f>1026.1+G207</f>
        <v>1339.3999999999999</v>
      </c>
      <c r="I207" s="47">
        <v>0</v>
      </c>
      <c r="J207" s="88"/>
      <c r="K207" s="47">
        <v>0</v>
      </c>
      <c r="L207" s="46">
        <v>1026.0999999999999</v>
      </c>
      <c r="M207" s="46">
        <f>SUM(G207)</f>
        <v>313.3</v>
      </c>
      <c r="N207" s="46">
        <f>1026.1+M207</f>
        <v>1339.3999999999999</v>
      </c>
      <c r="O207" s="94"/>
      <c r="P207" s="94"/>
    </row>
    <row r="208" spans="1:17" ht="15.75" x14ac:dyDescent="0.2">
      <c r="A208" s="42"/>
      <c r="B208" s="43" t="s">
        <v>41</v>
      </c>
      <c r="C208" s="44" t="s">
        <v>269</v>
      </c>
      <c r="D208" s="45" t="s">
        <v>42</v>
      </c>
      <c r="E208" s="105"/>
      <c r="F208" s="46">
        <v>23</v>
      </c>
      <c r="G208" s="46"/>
      <c r="H208" s="46">
        <v>23</v>
      </c>
      <c r="I208" s="47">
        <v>0</v>
      </c>
      <c r="J208" s="88"/>
      <c r="K208" s="47">
        <v>0</v>
      </c>
      <c r="L208" s="46">
        <v>23</v>
      </c>
      <c r="M208" s="46"/>
      <c r="N208" s="46">
        <v>23</v>
      </c>
      <c r="O208" s="94"/>
      <c r="P208" s="94"/>
    </row>
    <row r="209" spans="1:16" ht="48.6" customHeight="1" x14ac:dyDescent="0.2">
      <c r="A209" s="42"/>
      <c r="B209" s="43" t="s">
        <v>270</v>
      </c>
      <c r="C209" s="44" t="s">
        <v>271</v>
      </c>
      <c r="D209" s="45" t="s">
        <v>26</v>
      </c>
      <c r="E209" s="105"/>
      <c r="F209" s="46">
        <f>F210</f>
        <v>1728.6000000000001</v>
      </c>
      <c r="G209" s="46">
        <f>G210</f>
        <v>1836.4</v>
      </c>
      <c r="H209" s="46">
        <f>H210</f>
        <v>3565</v>
      </c>
      <c r="I209" s="47">
        <f>I210</f>
        <v>0</v>
      </c>
      <c r="J209" s="88"/>
      <c r="K209" s="47">
        <f>K210</f>
        <v>0</v>
      </c>
      <c r="L209" s="46">
        <f>L210</f>
        <v>1728.6000000000001</v>
      </c>
      <c r="M209" s="46">
        <f>M210</f>
        <v>1836.4</v>
      </c>
      <c r="N209" s="46">
        <f>N210</f>
        <v>3565</v>
      </c>
      <c r="O209" s="94"/>
      <c r="P209" s="94"/>
    </row>
    <row r="210" spans="1:16" ht="31.5" x14ac:dyDescent="0.2">
      <c r="A210" s="42"/>
      <c r="B210" s="43" t="s">
        <v>35</v>
      </c>
      <c r="C210" s="44" t="s">
        <v>271</v>
      </c>
      <c r="D210" s="45" t="s">
        <v>36</v>
      </c>
      <c r="E210" s="105"/>
      <c r="F210" s="56">
        <f>1134.8+593.6+0.2</f>
        <v>1728.6000000000001</v>
      </c>
      <c r="G210" s="56">
        <f>636.4+1200</f>
        <v>1836.4</v>
      </c>
      <c r="H210" s="56">
        <f>1134.8+593.6+0.2+G210</f>
        <v>3565</v>
      </c>
      <c r="I210" s="47">
        <v>0</v>
      </c>
      <c r="J210" s="111"/>
      <c r="K210" s="47">
        <v>0</v>
      </c>
      <c r="L210" s="56">
        <f>1134.8+593.6+0.2</f>
        <v>1728.6000000000001</v>
      </c>
      <c r="M210" s="56">
        <f>SUM(G210)</f>
        <v>1836.4</v>
      </c>
      <c r="N210" s="56">
        <f>1134.8+593.6+0.2+M210</f>
        <v>3565</v>
      </c>
      <c r="O210" s="94"/>
      <c r="P210" s="94"/>
    </row>
    <row r="211" spans="1:16" ht="47.25" x14ac:dyDescent="0.2">
      <c r="A211" s="42"/>
      <c r="B211" s="43" t="s">
        <v>272</v>
      </c>
      <c r="C211" s="44" t="s">
        <v>273</v>
      </c>
      <c r="D211" s="45" t="s">
        <v>26</v>
      </c>
      <c r="E211" s="105"/>
      <c r="F211" s="46">
        <f>F212</f>
        <v>1000</v>
      </c>
      <c r="G211" s="46">
        <f>G212</f>
        <v>0</v>
      </c>
      <c r="H211" s="46">
        <f>H212</f>
        <v>1000</v>
      </c>
      <c r="I211" s="47">
        <f>I212</f>
        <v>0</v>
      </c>
      <c r="J211" s="88"/>
      <c r="K211" s="47">
        <f>K212</f>
        <v>0</v>
      </c>
      <c r="L211" s="46">
        <f>L212</f>
        <v>1000</v>
      </c>
      <c r="M211" s="46">
        <f>M212</f>
        <v>0</v>
      </c>
      <c r="N211" s="46">
        <f>N212</f>
        <v>1000</v>
      </c>
      <c r="O211" s="94"/>
      <c r="P211" s="94"/>
    </row>
    <row r="212" spans="1:16" ht="31.5" x14ac:dyDescent="0.2">
      <c r="A212" s="42"/>
      <c r="B212" s="43" t="s">
        <v>35</v>
      </c>
      <c r="C212" s="44" t="s">
        <v>273</v>
      </c>
      <c r="D212" s="45" t="s">
        <v>36</v>
      </c>
      <c r="E212" s="105"/>
      <c r="F212" s="46">
        <v>1000</v>
      </c>
      <c r="G212" s="46"/>
      <c r="H212" s="46">
        <v>1000</v>
      </c>
      <c r="I212" s="47">
        <v>0</v>
      </c>
      <c r="J212" s="88"/>
      <c r="K212" s="47">
        <v>0</v>
      </c>
      <c r="L212" s="46">
        <v>1000</v>
      </c>
      <c r="M212" s="46"/>
      <c r="N212" s="46">
        <v>1000</v>
      </c>
      <c r="O212" s="94"/>
      <c r="P212" s="94"/>
    </row>
    <row r="213" spans="1:16" ht="31.5" x14ac:dyDescent="0.2">
      <c r="A213" s="42"/>
      <c r="B213" s="43" t="s">
        <v>274</v>
      </c>
      <c r="C213" s="44" t="s">
        <v>275</v>
      </c>
      <c r="D213" s="45" t="s">
        <v>26</v>
      </c>
      <c r="E213" s="105"/>
      <c r="F213" s="46">
        <f t="shared" ref="F213:N214" si="43">F214</f>
        <v>13584.1</v>
      </c>
      <c r="G213" s="46">
        <f t="shared" si="43"/>
        <v>0</v>
      </c>
      <c r="H213" s="46">
        <f t="shared" si="43"/>
        <v>13584.1</v>
      </c>
      <c r="I213" s="47">
        <f t="shared" si="43"/>
        <v>0</v>
      </c>
      <c r="J213" s="88"/>
      <c r="K213" s="47">
        <f t="shared" si="43"/>
        <v>0</v>
      </c>
      <c r="L213" s="46">
        <f t="shared" si="43"/>
        <v>13584.1</v>
      </c>
      <c r="M213" s="46">
        <f t="shared" si="43"/>
        <v>0</v>
      </c>
      <c r="N213" s="46">
        <f t="shared" si="43"/>
        <v>13584.1</v>
      </c>
      <c r="O213" s="94"/>
      <c r="P213" s="94"/>
    </row>
    <row r="214" spans="1:16" ht="78.75" x14ac:dyDescent="0.2">
      <c r="A214" s="42"/>
      <c r="B214" s="43" t="s">
        <v>276</v>
      </c>
      <c r="C214" s="44" t="s">
        <v>277</v>
      </c>
      <c r="D214" s="45" t="s">
        <v>26</v>
      </c>
      <c r="E214" s="105"/>
      <c r="F214" s="46">
        <f t="shared" si="43"/>
        <v>13584.1</v>
      </c>
      <c r="G214" s="46">
        <f t="shared" si="43"/>
        <v>0</v>
      </c>
      <c r="H214" s="46">
        <f t="shared" si="43"/>
        <v>13584.1</v>
      </c>
      <c r="I214" s="47">
        <f t="shared" si="43"/>
        <v>0</v>
      </c>
      <c r="J214" s="88"/>
      <c r="K214" s="47">
        <f t="shared" si="43"/>
        <v>0</v>
      </c>
      <c r="L214" s="46">
        <f t="shared" si="43"/>
        <v>13584.1</v>
      </c>
      <c r="M214" s="46">
        <f t="shared" si="43"/>
        <v>0</v>
      </c>
      <c r="N214" s="46">
        <f t="shared" si="43"/>
        <v>13584.1</v>
      </c>
      <c r="O214" s="94"/>
      <c r="P214" s="94"/>
    </row>
    <row r="215" spans="1:16" ht="15.75" x14ac:dyDescent="0.2">
      <c r="A215" s="42"/>
      <c r="B215" s="43" t="s">
        <v>278</v>
      </c>
      <c r="C215" s="44" t="s">
        <v>277</v>
      </c>
      <c r="D215" s="45" t="s">
        <v>279</v>
      </c>
      <c r="E215" s="105"/>
      <c r="F215" s="77">
        <f>13584.2-0.1</f>
        <v>13584.1</v>
      </c>
      <c r="G215" s="77"/>
      <c r="H215" s="77">
        <f>13584.2-0.1</f>
        <v>13584.1</v>
      </c>
      <c r="I215" s="47">
        <v>0</v>
      </c>
      <c r="J215" s="113"/>
      <c r="K215" s="47">
        <v>0</v>
      </c>
      <c r="L215" s="77">
        <f>13584.2-0.1</f>
        <v>13584.1</v>
      </c>
      <c r="M215" s="77"/>
      <c r="N215" s="77">
        <f>13584.2-0.1</f>
        <v>13584.1</v>
      </c>
      <c r="O215" s="94"/>
      <c r="P215" s="94"/>
    </row>
    <row r="216" spans="1:16" ht="47.25" x14ac:dyDescent="0.2">
      <c r="A216" s="42"/>
      <c r="B216" s="43" t="s">
        <v>280</v>
      </c>
      <c r="C216" s="44" t="s">
        <v>281</v>
      </c>
      <c r="D216" s="45" t="s">
        <v>26</v>
      </c>
      <c r="E216" s="105"/>
      <c r="F216" s="46">
        <f t="shared" ref="F216:N217" si="44">F217</f>
        <v>1516.6000000000001</v>
      </c>
      <c r="G216" s="46">
        <f t="shared" si="44"/>
        <v>0</v>
      </c>
      <c r="H216" s="46">
        <f t="shared" si="44"/>
        <v>1516.6000000000001</v>
      </c>
      <c r="I216" s="47">
        <f t="shared" si="44"/>
        <v>0</v>
      </c>
      <c r="J216" s="88"/>
      <c r="K216" s="47">
        <f t="shared" si="44"/>
        <v>0</v>
      </c>
      <c r="L216" s="46">
        <f t="shared" si="44"/>
        <v>1516.6000000000001</v>
      </c>
      <c r="M216" s="46">
        <f t="shared" si="44"/>
        <v>0</v>
      </c>
      <c r="N216" s="46">
        <f t="shared" si="44"/>
        <v>1516.6000000000001</v>
      </c>
      <c r="O216" s="94"/>
      <c r="P216" s="94"/>
    </row>
    <row r="217" spans="1:16" ht="67.900000000000006" customHeight="1" x14ac:dyDescent="0.2">
      <c r="A217" s="42"/>
      <c r="B217" s="43" t="s">
        <v>282</v>
      </c>
      <c r="C217" s="44" t="s">
        <v>283</v>
      </c>
      <c r="D217" s="45" t="s">
        <v>26</v>
      </c>
      <c r="E217" s="105"/>
      <c r="F217" s="46">
        <f t="shared" si="44"/>
        <v>1516.6000000000001</v>
      </c>
      <c r="G217" s="46">
        <f t="shared" si="44"/>
        <v>0</v>
      </c>
      <c r="H217" s="46">
        <f t="shared" si="44"/>
        <v>1516.6000000000001</v>
      </c>
      <c r="I217" s="47">
        <f t="shared" si="44"/>
        <v>0</v>
      </c>
      <c r="J217" s="88"/>
      <c r="K217" s="47">
        <f t="shared" si="44"/>
        <v>0</v>
      </c>
      <c r="L217" s="46">
        <f t="shared" si="44"/>
        <v>1516.6000000000001</v>
      </c>
      <c r="M217" s="46">
        <f t="shared" si="44"/>
        <v>0</v>
      </c>
      <c r="N217" s="46">
        <f t="shared" si="44"/>
        <v>1516.6000000000001</v>
      </c>
      <c r="O217" s="94"/>
      <c r="P217" s="94"/>
    </row>
    <row r="218" spans="1:16" ht="15.75" x14ac:dyDescent="0.2">
      <c r="A218" s="42"/>
      <c r="B218" s="43" t="s">
        <v>278</v>
      </c>
      <c r="C218" s="44" t="s">
        <v>283</v>
      </c>
      <c r="D218" s="45" t="s">
        <v>279</v>
      </c>
      <c r="E218" s="105"/>
      <c r="F218" s="77">
        <f>1516.7-0.1</f>
        <v>1516.6000000000001</v>
      </c>
      <c r="G218" s="77"/>
      <c r="H218" s="77">
        <f>1516.7-0.1</f>
        <v>1516.6000000000001</v>
      </c>
      <c r="I218" s="47">
        <v>0</v>
      </c>
      <c r="J218" s="113"/>
      <c r="K218" s="47">
        <v>0</v>
      </c>
      <c r="L218" s="77">
        <f>1516.7-0.1</f>
        <v>1516.6000000000001</v>
      </c>
      <c r="M218" s="77"/>
      <c r="N218" s="77">
        <f>1516.7-0.1</f>
        <v>1516.6000000000001</v>
      </c>
      <c r="O218" s="94"/>
      <c r="P218" s="94"/>
    </row>
    <row r="219" spans="1:16" ht="15.75" x14ac:dyDescent="0.2">
      <c r="A219" s="49"/>
      <c r="B219" s="50" t="s">
        <v>284</v>
      </c>
      <c r="C219" s="51" t="s">
        <v>285</v>
      </c>
      <c r="D219" s="52" t="s">
        <v>26</v>
      </c>
      <c r="E219" s="106"/>
      <c r="F219" s="53">
        <f t="shared" ref="F219:N221" si="45">F220</f>
        <v>292.5</v>
      </c>
      <c r="G219" s="53">
        <f t="shared" si="45"/>
        <v>101.9</v>
      </c>
      <c r="H219" s="53">
        <f t="shared" si="45"/>
        <v>394.4</v>
      </c>
      <c r="I219" s="54">
        <f t="shared" si="45"/>
        <v>0</v>
      </c>
      <c r="J219" s="87"/>
      <c r="K219" s="54">
        <f t="shared" si="45"/>
        <v>0</v>
      </c>
      <c r="L219" s="53">
        <f t="shared" si="45"/>
        <v>292.5</v>
      </c>
      <c r="M219" s="53">
        <f t="shared" si="45"/>
        <v>101.9</v>
      </c>
      <c r="N219" s="53">
        <f t="shared" si="45"/>
        <v>394.4</v>
      </c>
      <c r="O219" s="95"/>
      <c r="P219" s="95"/>
    </row>
    <row r="220" spans="1:16" ht="31.5" x14ac:dyDescent="0.2">
      <c r="A220" s="42"/>
      <c r="B220" s="43" t="s">
        <v>286</v>
      </c>
      <c r="C220" s="44" t="s">
        <v>287</v>
      </c>
      <c r="D220" s="45" t="s">
        <v>26</v>
      </c>
      <c r="E220" s="105"/>
      <c r="F220" s="46">
        <f t="shared" si="45"/>
        <v>292.5</v>
      </c>
      <c r="G220" s="46">
        <f t="shared" si="45"/>
        <v>101.9</v>
      </c>
      <c r="H220" s="46">
        <f t="shared" si="45"/>
        <v>394.4</v>
      </c>
      <c r="I220" s="47">
        <f t="shared" si="45"/>
        <v>0</v>
      </c>
      <c r="J220" s="88"/>
      <c r="K220" s="47">
        <f t="shared" si="45"/>
        <v>0</v>
      </c>
      <c r="L220" s="46">
        <f t="shared" si="45"/>
        <v>292.5</v>
      </c>
      <c r="M220" s="46">
        <f t="shared" si="45"/>
        <v>101.9</v>
      </c>
      <c r="N220" s="46">
        <f t="shared" si="45"/>
        <v>394.4</v>
      </c>
      <c r="O220" s="94"/>
      <c r="P220" s="94"/>
    </row>
    <row r="221" spans="1:16" ht="15.75" x14ac:dyDescent="0.2">
      <c r="A221" s="42"/>
      <c r="B221" s="43" t="s">
        <v>288</v>
      </c>
      <c r="C221" s="44" t="s">
        <v>289</v>
      </c>
      <c r="D221" s="45" t="s">
        <v>26</v>
      </c>
      <c r="E221" s="105"/>
      <c r="F221" s="46">
        <f t="shared" si="45"/>
        <v>292.5</v>
      </c>
      <c r="G221" s="46">
        <f t="shared" si="45"/>
        <v>101.9</v>
      </c>
      <c r="H221" s="46">
        <f t="shared" si="45"/>
        <v>394.4</v>
      </c>
      <c r="I221" s="47">
        <f t="shared" si="45"/>
        <v>0</v>
      </c>
      <c r="J221" s="88"/>
      <c r="K221" s="47">
        <f t="shared" si="45"/>
        <v>0</v>
      </c>
      <c r="L221" s="46">
        <f t="shared" si="45"/>
        <v>292.5</v>
      </c>
      <c r="M221" s="46">
        <f t="shared" si="45"/>
        <v>101.9</v>
      </c>
      <c r="N221" s="46">
        <f t="shared" si="45"/>
        <v>394.4</v>
      </c>
      <c r="O221" s="94"/>
      <c r="P221" s="94"/>
    </row>
    <row r="222" spans="1:16" ht="31.5" x14ac:dyDescent="0.2">
      <c r="A222" s="42"/>
      <c r="B222" s="43" t="s">
        <v>35</v>
      </c>
      <c r="C222" s="44" t="s">
        <v>289</v>
      </c>
      <c r="D222" s="45" t="s">
        <v>36</v>
      </c>
      <c r="E222" s="105"/>
      <c r="F222" s="46">
        <v>292.5</v>
      </c>
      <c r="G222" s="46">
        <f>93.7+8.2</f>
        <v>101.9</v>
      </c>
      <c r="H222" s="46">
        <f>292.5+G222</f>
        <v>394.4</v>
      </c>
      <c r="I222" s="47">
        <v>0</v>
      </c>
      <c r="J222" s="88"/>
      <c r="K222" s="47">
        <v>0</v>
      </c>
      <c r="L222" s="46">
        <v>292.5</v>
      </c>
      <c r="M222" s="46">
        <f>SUM(G222)</f>
        <v>101.9</v>
      </c>
      <c r="N222" s="46">
        <f>292.5+M222</f>
        <v>394.4</v>
      </c>
      <c r="O222" s="94"/>
      <c r="P222" s="94"/>
    </row>
    <row r="223" spans="1:16" ht="24.6" customHeight="1" x14ac:dyDescent="0.2">
      <c r="A223" s="49"/>
      <c r="B223" s="50" t="s">
        <v>290</v>
      </c>
      <c r="C223" s="51" t="s">
        <v>291</v>
      </c>
      <c r="D223" s="52" t="s">
        <v>26</v>
      </c>
      <c r="E223" s="106"/>
      <c r="F223" s="53">
        <f>F224</f>
        <v>5186.5</v>
      </c>
      <c r="G223" s="53">
        <f>G224</f>
        <v>174.8</v>
      </c>
      <c r="H223" s="53">
        <f>H224</f>
        <v>5361.3</v>
      </c>
      <c r="I223" s="54">
        <f>I224</f>
        <v>0</v>
      </c>
      <c r="J223" s="87"/>
      <c r="K223" s="54">
        <f>K224</f>
        <v>0</v>
      </c>
      <c r="L223" s="53">
        <f>L224</f>
        <v>5186.5</v>
      </c>
      <c r="M223" s="53">
        <f>M224</f>
        <v>174.8</v>
      </c>
      <c r="N223" s="53">
        <f>N224</f>
        <v>5361.3</v>
      </c>
      <c r="O223" s="95"/>
      <c r="P223" s="95"/>
    </row>
    <row r="224" spans="1:16" ht="36.6" customHeight="1" x14ac:dyDescent="0.2">
      <c r="A224" s="42"/>
      <c r="B224" s="43" t="s">
        <v>292</v>
      </c>
      <c r="C224" s="44" t="s">
        <v>293</v>
      </c>
      <c r="D224" s="45" t="s">
        <v>26</v>
      </c>
      <c r="E224" s="105"/>
      <c r="F224" s="46">
        <f>F225+F227</f>
        <v>5186.5</v>
      </c>
      <c r="G224" s="46">
        <f>G225+G227</f>
        <v>174.8</v>
      </c>
      <c r="H224" s="46">
        <f>H225+H227</f>
        <v>5361.3</v>
      </c>
      <c r="I224" s="47">
        <f>I225+I227</f>
        <v>0</v>
      </c>
      <c r="J224" s="88"/>
      <c r="K224" s="47">
        <f>K225+K227</f>
        <v>0</v>
      </c>
      <c r="L224" s="46">
        <f>L225+L227</f>
        <v>5186.5</v>
      </c>
      <c r="M224" s="46">
        <f>M225+M227</f>
        <v>174.8</v>
      </c>
      <c r="N224" s="46">
        <f>N225+N227</f>
        <v>5361.3</v>
      </c>
      <c r="O224" s="94"/>
      <c r="P224" s="94"/>
    </row>
    <row r="225" spans="1:16" ht="22.15" customHeight="1" x14ac:dyDescent="0.2">
      <c r="A225" s="42"/>
      <c r="B225" s="43" t="s">
        <v>294</v>
      </c>
      <c r="C225" s="44" t="s">
        <v>295</v>
      </c>
      <c r="D225" s="45" t="s">
        <v>26</v>
      </c>
      <c r="E225" s="105"/>
      <c r="F225" s="46">
        <f>F226</f>
        <v>321.70000000000005</v>
      </c>
      <c r="G225" s="46">
        <f>G226</f>
        <v>174.8</v>
      </c>
      <c r="H225" s="46">
        <f>H226</f>
        <v>496.50000000000006</v>
      </c>
      <c r="I225" s="47">
        <f>I226</f>
        <v>0</v>
      </c>
      <c r="J225" s="88"/>
      <c r="K225" s="47">
        <f>K226</f>
        <v>0</v>
      </c>
      <c r="L225" s="46">
        <f>L226</f>
        <v>321.70000000000005</v>
      </c>
      <c r="M225" s="46">
        <f>M226</f>
        <v>174.8</v>
      </c>
      <c r="N225" s="46">
        <f>N226</f>
        <v>496.50000000000006</v>
      </c>
      <c r="O225" s="94"/>
      <c r="P225" s="94"/>
    </row>
    <row r="226" spans="1:16" ht="31.5" x14ac:dyDescent="0.2">
      <c r="A226" s="42"/>
      <c r="B226" s="43" t="s">
        <v>35</v>
      </c>
      <c r="C226" s="44" t="s">
        <v>295</v>
      </c>
      <c r="D226" s="45" t="s">
        <v>36</v>
      </c>
      <c r="E226" s="105"/>
      <c r="F226" s="56">
        <f>1021.7-700</f>
        <v>321.70000000000005</v>
      </c>
      <c r="G226" s="56">
        <v>174.8</v>
      </c>
      <c r="H226" s="56">
        <f>1021.7-700+G226</f>
        <v>496.50000000000006</v>
      </c>
      <c r="I226" s="47">
        <v>0</v>
      </c>
      <c r="J226" s="111"/>
      <c r="K226" s="47">
        <v>0</v>
      </c>
      <c r="L226" s="56">
        <f>1021.7-700</f>
        <v>321.70000000000005</v>
      </c>
      <c r="M226" s="56">
        <f>SUM(G226)</f>
        <v>174.8</v>
      </c>
      <c r="N226" s="56">
        <f>1021.7-700+M226</f>
        <v>496.50000000000006</v>
      </c>
      <c r="O226" s="94"/>
      <c r="P226" s="94"/>
    </row>
    <row r="227" spans="1:16" ht="52.15" customHeight="1" x14ac:dyDescent="0.2">
      <c r="A227" s="42"/>
      <c r="B227" s="43" t="s">
        <v>296</v>
      </c>
      <c r="C227" s="44" t="s">
        <v>297</v>
      </c>
      <c r="D227" s="45" t="s">
        <v>26</v>
      </c>
      <c r="E227" s="105"/>
      <c r="F227" s="46">
        <f>F228</f>
        <v>4864.8</v>
      </c>
      <c r="G227" s="46">
        <f>G228</f>
        <v>0</v>
      </c>
      <c r="H227" s="46">
        <f>H228</f>
        <v>4864.8</v>
      </c>
      <c r="I227" s="47">
        <f>I228</f>
        <v>0</v>
      </c>
      <c r="J227" s="88"/>
      <c r="K227" s="47">
        <f>K228</f>
        <v>0</v>
      </c>
      <c r="L227" s="46">
        <f>L228</f>
        <v>4864.8</v>
      </c>
      <c r="M227" s="46">
        <f>M228</f>
        <v>0</v>
      </c>
      <c r="N227" s="46">
        <f>N228</f>
        <v>4864.8</v>
      </c>
      <c r="O227" s="94"/>
      <c r="P227" s="94"/>
    </row>
    <row r="228" spans="1:16" ht="15.75" x14ac:dyDescent="0.2">
      <c r="A228" s="42"/>
      <c r="B228" s="43" t="s">
        <v>278</v>
      </c>
      <c r="C228" s="44" t="s">
        <v>297</v>
      </c>
      <c r="D228" s="45" t="s">
        <v>279</v>
      </c>
      <c r="E228" s="105"/>
      <c r="F228" s="46">
        <v>4864.8</v>
      </c>
      <c r="G228" s="46"/>
      <c r="H228" s="46">
        <v>4864.8</v>
      </c>
      <c r="I228" s="47">
        <v>0</v>
      </c>
      <c r="J228" s="88"/>
      <c r="K228" s="47">
        <v>0</v>
      </c>
      <c r="L228" s="46">
        <v>4864.8</v>
      </c>
      <c r="M228" s="46"/>
      <c r="N228" s="46">
        <v>4864.8</v>
      </c>
      <c r="O228" s="94"/>
      <c r="P228" s="94"/>
    </row>
    <row r="229" spans="1:16" ht="15.75" x14ac:dyDescent="0.2">
      <c r="A229" s="49"/>
      <c r="B229" s="50" t="s">
        <v>298</v>
      </c>
      <c r="C229" s="51" t="s">
        <v>299</v>
      </c>
      <c r="D229" s="52" t="s">
        <v>26</v>
      </c>
      <c r="E229" s="106"/>
      <c r="F229" s="53">
        <f t="shared" ref="F229:N231" si="46">F230</f>
        <v>20</v>
      </c>
      <c r="G229" s="53">
        <f t="shared" si="46"/>
        <v>0</v>
      </c>
      <c r="H229" s="53">
        <f t="shared" si="46"/>
        <v>20</v>
      </c>
      <c r="I229" s="54">
        <f t="shared" si="46"/>
        <v>0</v>
      </c>
      <c r="J229" s="53">
        <f>J230</f>
        <v>0</v>
      </c>
      <c r="K229" s="54">
        <f t="shared" si="46"/>
        <v>0</v>
      </c>
      <c r="L229" s="53">
        <f t="shared" si="46"/>
        <v>20</v>
      </c>
      <c r="M229" s="53">
        <f t="shared" si="46"/>
        <v>0</v>
      </c>
      <c r="N229" s="53">
        <f t="shared" si="46"/>
        <v>20</v>
      </c>
      <c r="O229" s="95"/>
      <c r="P229" s="95"/>
    </row>
    <row r="230" spans="1:16" ht="31.5" x14ac:dyDescent="0.2">
      <c r="A230" s="42"/>
      <c r="B230" s="43" t="s">
        <v>300</v>
      </c>
      <c r="C230" s="44" t="s">
        <v>301</v>
      </c>
      <c r="D230" s="45" t="s">
        <v>26</v>
      </c>
      <c r="E230" s="105"/>
      <c r="F230" s="46">
        <f t="shared" si="46"/>
        <v>20</v>
      </c>
      <c r="G230" s="46">
        <f t="shared" si="46"/>
        <v>0</v>
      </c>
      <c r="H230" s="46">
        <f t="shared" si="46"/>
        <v>20</v>
      </c>
      <c r="I230" s="47">
        <f t="shared" si="46"/>
        <v>0</v>
      </c>
      <c r="J230" s="88"/>
      <c r="K230" s="47">
        <f t="shared" si="46"/>
        <v>0</v>
      </c>
      <c r="L230" s="46">
        <f t="shared" si="46"/>
        <v>20</v>
      </c>
      <c r="M230" s="46">
        <f t="shared" si="46"/>
        <v>0</v>
      </c>
      <c r="N230" s="46">
        <f t="shared" si="46"/>
        <v>20</v>
      </c>
      <c r="O230" s="94"/>
      <c r="P230" s="94"/>
    </row>
    <row r="231" spans="1:16" ht="15.75" x14ac:dyDescent="0.2">
      <c r="A231" s="42"/>
      <c r="B231" s="43" t="s">
        <v>302</v>
      </c>
      <c r="C231" s="44" t="s">
        <v>303</v>
      </c>
      <c r="D231" s="45" t="s">
        <v>26</v>
      </c>
      <c r="E231" s="105"/>
      <c r="F231" s="46">
        <f t="shared" si="46"/>
        <v>20</v>
      </c>
      <c r="G231" s="46">
        <f t="shared" si="46"/>
        <v>0</v>
      </c>
      <c r="H231" s="46">
        <f t="shared" si="46"/>
        <v>20</v>
      </c>
      <c r="I231" s="47">
        <f t="shared" si="46"/>
        <v>0</v>
      </c>
      <c r="J231" s="88"/>
      <c r="K231" s="47">
        <f t="shared" si="46"/>
        <v>0</v>
      </c>
      <c r="L231" s="46">
        <f t="shared" si="46"/>
        <v>20</v>
      </c>
      <c r="M231" s="46">
        <f t="shared" si="46"/>
        <v>0</v>
      </c>
      <c r="N231" s="46">
        <f t="shared" si="46"/>
        <v>20</v>
      </c>
      <c r="O231" s="94"/>
      <c r="P231" s="94"/>
    </row>
    <row r="232" spans="1:16" ht="31.5" x14ac:dyDescent="0.2">
      <c r="A232" s="42"/>
      <c r="B232" s="43" t="s">
        <v>35</v>
      </c>
      <c r="C232" s="44" t="s">
        <v>303</v>
      </c>
      <c r="D232" s="45" t="s">
        <v>36</v>
      </c>
      <c r="E232" s="105"/>
      <c r="F232" s="46">
        <v>20</v>
      </c>
      <c r="G232" s="46"/>
      <c r="H232" s="46">
        <v>20</v>
      </c>
      <c r="I232" s="47">
        <v>0</v>
      </c>
      <c r="J232" s="88"/>
      <c r="K232" s="47">
        <v>0</v>
      </c>
      <c r="L232" s="46">
        <v>20</v>
      </c>
      <c r="M232" s="46"/>
      <c r="N232" s="46">
        <v>20</v>
      </c>
      <c r="O232" s="94"/>
      <c r="P232" s="94"/>
    </row>
    <row r="233" spans="1:16" ht="15.75" x14ac:dyDescent="0.2">
      <c r="A233" s="49"/>
      <c r="B233" s="50" t="s">
        <v>140</v>
      </c>
      <c r="C233" s="51" t="s">
        <v>304</v>
      </c>
      <c r="D233" s="52" t="s">
        <v>26</v>
      </c>
      <c r="E233" s="106"/>
      <c r="F233" s="53">
        <f t="shared" ref="F233:N233" si="47">F234+F237</f>
        <v>3461.5</v>
      </c>
      <c r="G233" s="53">
        <f t="shared" si="47"/>
        <v>0</v>
      </c>
      <c r="H233" s="53">
        <f t="shared" si="47"/>
        <v>3461.5</v>
      </c>
      <c r="I233" s="54">
        <f t="shared" si="47"/>
        <v>0</v>
      </c>
      <c r="J233" s="53">
        <f t="shared" si="47"/>
        <v>0</v>
      </c>
      <c r="K233" s="54">
        <f t="shared" si="47"/>
        <v>0</v>
      </c>
      <c r="L233" s="53">
        <f t="shared" si="47"/>
        <v>3461.5</v>
      </c>
      <c r="M233" s="53">
        <f t="shared" si="47"/>
        <v>0</v>
      </c>
      <c r="N233" s="53">
        <f t="shared" si="47"/>
        <v>3461.5</v>
      </c>
      <c r="O233" s="95"/>
      <c r="P233" s="95"/>
    </row>
    <row r="234" spans="1:16" ht="30.6" customHeight="1" x14ac:dyDescent="0.2">
      <c r="A234" s="42"/>
      <c r="B234" s="43" t="s">
        <v>305</v>
      </c>
      <c r="C234" s="44" t="s">
        <v>306</v>
      </c>
      <c r="D234" s="45" t="s">
        <v>26</v>
      </c>
      <c r="E234" s="105"/>
      <c r="F234" s="46">
        <f t="shared" ref="F234:N235" si="48">F235</f>
        <v>3366.5</v>
      </c>
      <c r="G234" s="46">
        <f t="shared" si="48"/>
        <v>0</v>
      </c>
      <c r="H234" s="46">
        <f t="shared" si="48"/>
        <v>3366.5</v>
      </c>
      <c r="I234" s="47">
        <f t="shared" si="48"/>
        <v>0</v>
      </c>
      <c r="J234" s="88"/>
      <c r="K234" s="47">
        <f t="shared" si="48"/>
        <v>0</v>
      </c>
      <c r="L234" s="46">
        <f t="shared" si="48"/>
        <v>3366.5</v>
      </c>
      <c r="M234" s="46">
        <f t="shared" si="48"/>
        <v>0</v>
      </c>
      <c r="N234" s="46">
        <f t="shared" si="48"/>
        <v>3366.5</v>
      </c>
      <c r="O234" s="94"/>
      <c r="P234" s="94"/>
    </row>
    <row r="235" spans="1:16" ht="63" x14ac:dyDescent="0.2">
      <c r="A235" s="42"/>
      <c r="B235" s="43" t="s">
        <v>307</v>
      </c>
      <c r="C235" s="44" t="s">
        <v>308</v>
      </c>
      <c r="D235" s="45" t="s">
        <v>26</v>
      </c>
      <c r="E235" s="105"/>
      <c r="F235" s="46">
        <f t="shared" si="48"/>
        <v>3366.5</v>
      </c>
      <c r="G235" s="46">
        <f t="shared" si="48"/>
        <v>0</v>
      </c>
      <c r="H235" s="46">
        <f t="shared" si="48"/>
        <v>3366.5</v>
      </c>
      <c r="I235" s="47">
        <f t="shared" si="48"/>
        <v>0</v>
      </c>
      <c r="J235" s="88"/>
      <c r="K235" s="47">
        <f t="shared" si="48"/>
        <v>0</v>
      </c>
      <c r="L235" s="46">
        <f t="shared" si="48"/>
        <v>3366.5</v>
      </c>
      <c r="M235" s="46">
        <f t="shared" si="48"/>
        <v>0</v>
      </c>
      <c r="N235" s="46">
        <f t="shared" si="48"/>
        <v>3366.5</v>
      </c>
      <c r="O235" s="94"/>
      <c r="P235" s="94"/>
    </row>
    <row r="236" spans="1:16" ht="15.75" x14ac:dyDescent="0.2">
      <c r="A236" s="42"/>
      <c r="B236" s="43" t="s">
        <v>278</v>
      </c>
      <c r="C236" s="44" t="s">
        <v>308</v>
      </c>
      <c r="D236" s="45" t="s">
        <v>279</v>
      </c>
      <c r="E236" s="105"/>
      <c r="F236" s="46">
        <v>3366.5</v>
      </c>
      <c r="G236" s="46"/>
      <c r="H236" s="46">
        <v>3366.5</v>
      </c>
      <c r="I236" s="47">
        <v>0</v>
      </c>
      <c r="J236" s="88"/>
      <c r="K236" s="47">
        <v>0</v>
      </c>
      <c r="L236" s="46">
        <v>3366.5</v>
      </c>
      <c r="M236" s="46"/>
      <c r="N236" s="46">
        <v>3366.5</v>
      </c>
      <c r="O236" s="94"/>
      <c r="P236" s="94"/>
    </row>
    <row r="237" spans="1:16" ht="47.25" x14ac:dyDescent="0.2">
      <c r="A237" s="42"/>
      <c r="B237" s="43" t="s">
        <v>309</v>
      </c>
      <c r="C237" s="44" t="s">
        <v>310</v>
      </c>
      <c r="D237" s="45" t="s">
        <v>26</v>
      </c>
      <c r="E237" s="105"/>
      <c r="F237" s="46">
        <f t="shared" ref="F237:N238" si="49">F238</f>
        <v>95</v>
      </c>
      <c r="G237" s="46">
        <f t="shared" si="49"/>
        <v>0</v>
      </c>
      <c r="H237" s="46">
        <f t="shared" si="49"/>
        <v>95</v>
      </c>
      <c r="I237" s="47">
        <f t="shared" si="49"/>
        <v>0</v>
      </c>
      <c r="J237" s="88"/>
      <c r="K237" s="47">
        <f t="shared" si="49"/>
        <v>0</v>
      </c>
      <c r="L237" s="46">
        <f t="shared" si="49"/>
        <v>95</v>
      </c>
      <c r="M237" s="46">
        <f t="shared" si="49"/>
        <v>0</v>
      </c>
      <c r="N237" s="46">
        <f t="shared" si="49"/>
        <v>95</v>
      </c>
      <c r="O237" s="94"/>
      <c r="P237" s="94"/>
    </row>
    <row r="238" spans="1:16" ht="15.75" x14ac:dyDescent="0.2">
      <c r="A238" s="42"/>
      <c r="B238" s="43" t="s">
        <v>311</v>
      </c>
      <c r="C238" s="44" t="s">
        <v>312</v>
      </c>
      <c r="D238" s="45" t="s">
        <v>26</v>
      </c>
      <c r="E238" s="105"/>
      <c r="F238" s="46">
        <f t="shared" si="49"/>
        <v>95</v>
      </c>
      <c r="G238" s="46">
        <f t="shared" si="49"/>
        <v>0</v>
      </c>
      <c r="H238" s="46">
        <f t="shared" si="49"/>
        <v>95</v>
      </c>
      <c r="I238" s="47">
        <f t="shared" si="49"/>
        <v>0</v>
      </c>
      <c r="J238" s="88"/>
      <c r="K238" s="47">
        <f t="shared" si="49"/>
        <v>0</v>
      </c>
      <c r="L238" s="46">
        <f t="shared" si="49"/>
        <v>95</v>
      </c>
      <c r="M238" s="46">
        <f t="shared" si="49"/>
        <v>0</v>
      </c>
      <c r="N238" s="46">
        <f t="shared" si="49"/>
        <v>95</v>
      </c>
      <c r="O238" s="94"/>
      <c r="P238" s="94"/>
    </row>
    <row r="239" spans="1:16" ht="31.5" x14ac:dyDescent="0.2">
      <c r="A239" s="42"/>
      <c r="B239" s="43" t="s">
        <v>35</v>
      </c>
      <c r="C239" s="44" t="s">
        <v>312</v>
      </c>
      <c r="D239" s="45" t="s">
        <v>36</v>
      </c>
      <c r="E239" s="105"/>
      <c r="F239" s="46">
        <v>95</v>
      </c>
      <c r="G239" s="46"/>
      <c r="H239" s="46">
        <v>95</v>
      </c>
      <c r="I239" s="47">
        <v>0</v>
      </c>
      <c r="J239" s="88"/>
      <c r="K239" s="47">
        <v>0</v>
      </c>
      <c r="L239" s="46">
        <v>95</v>
      </c>
      <c r="M239" s="46"/>
      <c r="N239" s="46">
        <v>95</v>
      </c>
      <c r="O239" s="94"/>
      <c r="P239" s="94"/>
    </row>
    <row r="240" spans="1:16" ht="47.25" x14ac:dyDescent="0.2">
      <c r="A240" s="19" t="s">
        <v>313</v>
      </c>
      <c r="B240" s="20" t="s">
        <v>314</v>
      </c>
      <c r="C240" s="21" t="s">
        <v>315</v>
      </c>
      <c r="D240" s="22" t="s">
        <v>26</v>
      </c>
      <c r="E240" s="104"/>
      <c r="F240" s="23">
        <f t="shared" ref="F240:N240" si="50">F241+F248+F252</f>
        <v>5472</v>
      </c>
      <c r="G240" s="23">
        <f t="shared" si="50"/>
        <v>0</v>
      </c>
      <c r="H240" s="23">
        <f t="shared" si="50"/>
        <v>5472</v>
      </c>
      <c r="I240" s="24">
        <f t="shared" si="50"/>
        <v>0</v>
      </c>
      <c r="J240" s="23">
        <f t="shared" si="50"/>
        <v>0</v>
      </c>
      <c r="K240" s="24">
        <f t="shared" si="50"/>
        <v>0</v>
      </c>
      <c r="L240" s="23">
        <f t="shared" si="50"/>
        <v>5472</v>
      </c>
      <c r="M240" s="23">
        <f t="shared" si="50"/>
        <v>0</v>
      </c>
      <c r="N240" s="23">
        <f t="shared" si="50"/>
        <v>5472</v>
      </c>
      <c r="O240" s="93"/>
      <c r="P240" s="93"/>
    </row>
    <row r="241" spans="1:16" ht="31.5" x14ac:dyDescent="0.2">
      <c r="A241" s="49"/>
      <c r="B241" s="50" t="s">
        <v>316</v>
      </c>
      <c r="C241" s="51" t="s">
        <v>317</v>
      </c>
      <c r="D241" s="52" t="s">
        <v>26</v>
      </c>
      <c r="E241" s="106"/>
      <c r="F241" s="53">
        <f t="shared" ref="F241:N241" si="51">F242</f>
        <v>2722</v>
      </c>
      <c r="G241" s="53">
        <f t="shared" si="51"/>
        <v>0</v>
      </c>
      <c r="H241" s="53">
        <f t="shared" si="51"/>
        <v>2722</v>
      </c>
      <c r="I241" s="54">
        <f t="shared" si="51"/>
        <v>0</v>
      </c>
      <c r="J241" s="53">
        <f t="shared" si="51"/>
        <v>0</v>
      </c>
      <c r="K241" s="54">
        <f t="shared" si="51"/>
        <v>0</v>
      </c>
      <c r="L241" s="53">
        <f t="shared" si="51"/>
        <v>2722</v>
      </c>
      <c r="M241" s="53">
        <f t="shared" si="51"/>
        <v>0</v>
      </c>
      <c r="N241" s="53">
        <f t="shared" si="51"/>
        <v>2722</v>
      </c>
      <c r="O241" s="95"/>
      <c r="P241" s="95"/>
    </row>
    <row r="242" spans="1:16" ht="31.5" x14ac:dyDescent="0.2">
      <c r="A242" s="42"/>
      <c r="B242" s="43" t="s">
        <v>318</v>
      </c>
      <c r="C242" s="44" t="s">
        <v>319</v>
      </c>
      <c r="D242" s="45" t="s">
        <v>26</v>
      </c>
      <c r="E242" s="105"/>
      <c r="F242" s="46">
        <f>F243+F245</f>
        <v>2722</v>
      </c>
      <c r="G242" s="46">
        <f>G243+G245</f>
        <v>0</v>
      </c>
      <c r="H242" s="46">
        <f>H243+H245</f>
        <v>2722</v>
      </c>
      <c r="I242" s="47">
        <f>I243+I245</f>
        <v>0</v>
      </c>
      <c r="J242" s="88"/>
      <c r="K242" s="47">
        <f>K243+K245</f>
        <v>0</v>
      </c>
      <c r="L242" s="46">
        <f>L243+L245</f>
        <v>2722</v>
      </c>
      <c r="M242" s="46">
        <f>M243+M245</f>
        <v>0</v>
      </c>
      <c r="N242" s="46">
        <f>N243+N245</f>
        <v>2722</v>
      </c>
      <c r="O242" s="94"/>
      <c r="P242" s="94"/>
    </row>
    <row r="243" spans="1:16" ht="31.5" x14ac:dyDescent="0.2">
      <c r="A243" s="42"/>
      <c r="B243" s="43" t="s">
        <v>316</v>
      </c>
      <c r="C243" s="44" t="s">
        <v>320</v>
      </c>
      <c r="D243" s="45" t="s">
        <v>26</v>
      </c>
      <c r="E243" s="105"/>
      <c r="F243" s="46">
        <f>F244</f>
        <v>2412</v>
      </c>
      <c r="G243" s="46">
        <f>G244</f>
        <v>0</v>
      </c>
      <c r="H243" s="46">
        <f>H244</f>
        <v>2412</v>
      </c>
      <c r="I243" s="47">
        <f>I244</f>
        <v>0</v>
      </c>
      <c r="J243" s="88"/>
      <c r="K243" s="47">
        <f>K244</f>
        <v>0</v>
      </c>
      <c r="L243" s="46">
        <f>L244</f>
        <v>2412</v>
      </c>
      <c r="M243" s="46">
        <f>M244</f>
        <v>0</v>
      </c>
      <c r="N243" s="46">
        <f>N244</f>
        <v>2412</v>
      </c>
      <c r="O243" s="94"/>
      <c r="P243" s="94"/>
    </row>
    <row r="244" spans="1:16" ht="15.75" x14ac:dyDescent="0.2">
      <c r="A244" s="42"/>
      <c r="B244" s="43" t="s">
        <v>54</v>
      </c>
      <c r="C244" s="44" t="s">
        <v>320</v>
      </c>
      <c r="D244" s="45" t="s">
        <v>55</v>
      </c>
      <c r="E244" s="105"/>
      <c r="F244" s="46">
        <v>2412</v>
      </c>
      <c r="G244" s="46"/>
      <c r="H244" s="46">
        <v>2412</v>
      </c>
      <c r="I244" s="47">
        <v>0</v>
      </c>
      <c r="J244" s="88"/>
      <c r="K244" s="47">
        <v>0</v>
      </c>
      <c r="L244" s="46">
        <v>2412</v>
      </c>
      <c r="M244" s="46"/>
      <c r="N244" s="46">
        <v>2412</v>
      </c>
      <c r="O244" s="94"/>
      <c r="P244" s="94"/>
    </row>
    <row r="245" spans="1:16" ht="31.5" x14ac:dyDescent="0.2">
      <c r="A245" s="42"/>
      <c r="B245" s="43" t="s">
        <v>321</v>
      </c>
      <c r="C245" s="44" t="s">
        <v>322</v>
      </c>
      <c r="D245" s="45" t="s">
        <v>26</v>
      </c>
      <c r="E245" s="105"/>
      <c r="F245" s="46">
        <f>F246+F247</f>
        <v>310</v>
      </c>
      <c r="G245" s="46">
        <f>G246+G247</f>
        <v>0</v>
      </c>
      <c r="H245" s="46">
        <f>H246+H247</f>
        <v>310</v>
      </c>
      <c r="I245" s="47">
        <f>I246+I247</f>
        <v>0</v>
      </c>
      <c r="J245" s="88"/>
      <c r="K245" s="47">
        <f>K246+K247</f>
        <v>0</v>
      </c>
      <c r="L245" s="46">
        <f>L246+L247</f>
        <v>310</v>
      </c>
      <c r="M245" s="46">
        <f>M246+M247</f>
        <v>0</v>
      </c>
      <c r="N245" s="46">
        <f>N246+N247</f>
        <v>310</v>
      </c>
      <c r="O245" s="94"/>
      <c r="P245" s="94"/>
    </row>
    <row r="246" spans="1:16" ht="31.5" x14ac:dyDescent="0.2">
      <c r="A246" s="42"/>
      <c r="B246" s="43" t="s">
        <v>35</v>
      </c>
      <c r="C246" s="44" t="s">
        <v>322</v>
      </c>
      <c r="D246" s="45" t="s">
        <v>36</v>
      </c>
      <c r="E246" s="105"/>
      <c r="F246" s="46">
        <v>300</v>
      </c>
      <c r="G246" s="46"/>
      <c r="H246" s="46">
        <v>300</v>
      </c>
      <c r="I246" s="47">
        <v>0</v>
      </c>
      <c r="J246" s="88"/>
      <c r="K246" s="47">
        <v>0</v>
      </c>
      <c r="L246" s="46">
        <v>300</v>
      </c>
      <c r="M246" s="46"/>
      <c r="N246" s="46">
        <v>300</v>
      </c>
      <c r="O246" s="94"/>
      <c r="P246" s="94"/>
    </row>
    <row r="247" spans="1:16" ht="15.75" x14ac:dyDescent="0.2">
      <c r="A247" s="42"/>
      <c r="B247" s="43" t="s">
        <v>54</v>
      </c>
      <c r="C247" s="44" t="s">
        <v>322</v>
      </c>
      <c r="D247" s="45" t="s">
        <v>55</v>
      </c>
      <c r="E247" s="105"/>
      <c r="F247" s="46">
        <v>10</v>
      </c>
      <c r="G247" s="46"/>
      <c r="H247" s="46">
        <v>10</v>
      </c>
      <c r="I247" s="47">
        <v>0</v>
      </c>
      <c r="J247" s="88"/>
      <c r="K247" s="47">
        <v>0</v>
      </c>
      <c r="L247" s="46">
        <v>10</v>
      </c>
      <c r="M247" s="46"/>
      <c r="N247" s="46">
        <v>10</v>
      </c>
      <c r="O247" s="94"/>
      <c r="P247" s="94"/>
    </row>
    <row r="248" spans="1:16" ht="31.5" x14ac:dyDescent="0.2">
      <c r="A248" s="49"/>
      <c r="B248" s="50" t="s">
        <v>323</v>
      </c>
      <c r="C248" s="51" t="s">
        <v>324</v>
      </c>
      <c r="D248" s="52" t="s">
        <v>26</v>
      </c>
      <c r="E248" s="106"/>
      <c r="F248" s="53">
        <f t="shared" ref="F248:N250" si="52">F249</f>
        <v>150</v>
      </c>
      <c r="G248" s="53">
        <f t="shared" si="52"/>
        <v>0</v>
      </c>
      <c r="H248" s="53">
        <f t="shared" si="52"/>
        <v>150</v>
      </c>
      <c r="I248" s="54">
        <f t="shared" si="52"/>
        <v>0</v>
      </c>
      <c r="J248" s="53">
        <f>J249</f>
        <v>0</v>
      </c>
      <c r="K248" s="54">
        <f t="shared" si="52"/>
        <v>0</v>
      </c>
      <c r="L248" s="53">
        <f t="shared" si="52"/>
        <v>150</v>
      </c>
      <c r="M248" s="53">
        <f t="shared" si="52"/>
        <v>0</v>
      </c>
      <c r="N248" s="53">
        <f t="shared" si="52"/>
        <v>150</v>
      </c>
      <c r="O248" s="95"/>
      <c r="P248" s="95"/>
    </row>
    <row r="249" spans="1:16" ht="47.25" x14ac:dyDescent="0.2">
      <c r="A249" s="42"/>
      <c r="B249" s="43" t="s">
        <v>325</v>
      </c>
      <c r="C249" s="44" t="s">
        <v>326</v>
      </c>
      <c r="D249" s="45" t="s">
        <v>26</v>
      </c>
      <c r="E249" s="105"/>
      <c r="F249" s="46">
        <f t="shared" si="52"/>
        <v>150</v>
      </c>
      <c r="G249" s="46">
        <f t="shared" si="52"/>
        <v>0</v>
      </c>
      <c r="H249" s="46">
        <f t="shared" si="52"/>
        <v>150</v>
      </c>
      <c r="I249" s="47">
        <f t="shared" si="52"/>
        <v>0</v>
      </c>
      <c r="J249" s="88"/>
      <c r="K249" s="47">
        <f t="shared" si="52"/>
        <v>0</v>
      </c>
      <c r="L249" s="46">
        <f t="shared" si="52"/>
        <v>150</v>
      </c>
      <c r="M249" s="46">
        <f t="shared" si="52"/>
        <v>0</v>
      </c>
      <c r="N249" s="46">
        <f t="shared" si="52"/>
        <v>150</v>
      </c>
      <c r="O249" s="94"/>
      <c r="P249" s="94"/>
    </row>
    <row r="250" spans="1:16" ht="33" customHeight="1" x14ac:dyDescent="0.2">
      <c r="A250" s="42"/>
      <c r="B250" s="43" t="s">
        <v>327</v>
      </c>
      <c r="C250" s="44" t="s">
        <v>328</v>
      </c>
      <c r="D250" s="45" t="s">
        <v>26</v>
      </c>
      <c r="E250" s="105"/>
      <c r="F250" s="46">
        <f t="shared" si="52"/>
        <v>150</v>
      </c>
      <c r="G250" s="46">
        <f t="shared" si="52"/>
        <v>0</v>
      </c>
      <c r="H250" s="46">
        <f t="shared" si="52"/>
        <v>150</v>
      </c>
      <c r="I250" s="47">
        <f t="shared" si="52"/>
        <v>0</v>
      </c>
      <c r="J250" s="88"/>
      <c r="K250" s="47">
        <f t="shared" si="52"/>
        <v>0</v>
      </c>
      <c r="L250" s="46">
        <f t="shared" si="52"/>
        <v>150</v>
      </c>
      <c r="M250" s="46">
        <f t="shared" si="52"/>
        <v>0</v>
      </c>
      <c r="N250" s="46">
        <f t="shared" si="52"/>
        <v>150</v>
      </c>
      <c r="O250" s="94"/>
      <c r="P250" s="94"/>
    </row>
    <row r="251" spans="1:16" ht="31.5" x14ac:dyDescent="0.2">
      <c r="A251" s="42"/>
      <c r="B251" s="43" t="s">
        <v>35</v>
      </c>
      <c r="C251" s="44" t="s">
        <v>328</v>
      </c>
      <c r="D251" s="45" t="s">
        <v>36</v>
      </c>
      <c r="E251" s="105"/>
      <c r="F251" s="46">
        <v>150</v>
      </c>
      <c r="G251" s="46"/>
      <c r="H251" s="46">
        <v>150</v>
      </c>
      <c r="I251" s="47">
        <v>0</v>
      </c>
      <c r="J251" s="88"/>
      <c r="K251" s="47">
        <v>0</v>
      </c>
      <c r="L251" s="46">
        <v>150</v>
      </c>
      <c r="M251" s="46"/>
      <c r="N251" s="46">
        <v>150</v>
      </c>
      <c r="O251" s="94"/>
      <c r="P251" s="94"/>
    </row>
    <row r="252" spans="1:16" ht="31.5" x14ac:dyDescent="0.2">
      <c r="A252" s="49"/>
      <c r="B252" s="50" t="s">
        <v>329</v>
      </c>
      <c r="C252" s="51" t="s">
        <v>330</v>
      </c>
      <c r="D252" s="52" t="s">
        <v>26</v>
      </c>
      <c r="E252" s="106"/>
      <c r="F252" s="53">
        <f t="shared" ref="F252:N253" si="53">F253</f>
        <v>2600</v>
      </c>
      <c r="G252" s="53">
        <f t="shared" si="53"/>
        <v>0</v>
      </c>
      <c r="H252" s="53">
        <f t="shared" si="53"/>
        <v>2600</v>
      </c>
      <c r="I252" s="54">
        <f t="shared" si="53"/>
        <v>0</v>
      </c>
      <c r="J252" s="53">
        <f t="shared" si="53"/>
        <v>0</v>
      </c>
      <c r="K252" s="54">
        <f t="shared" si="53"/>
        <v>0</v>
      </c>
      <c r="L252" s="53">
        <f t="shared" si="53"/>
        <v>2600</v>
      </c>
      <c r="M252" s="53">
        <f t="shared" si="53"/>
        <v>0</v>
      </c>
      <c r="N252" s="53">
        <f t="shared" si="53"/>
        <v>2600</v>
      </c>
      <c r="O252" s="95"/>
      <c r="P252" s="95"/>
    </row>
    <row r="253" spans="1:16" ht="96" customHeight="1" x14ac:dyDescent="0.2">
      <c r="A253" s="42"/>
      <c r="B253" s="126" t="s">
        <v>331</v>
      </c>
      <c r="C253" s="44" t="s">
        <v>332</v>
      </c>
      <c r="D253" s="45" t="s">
        <v>26</v>
      </c>
      <c r="E253" s="105"/>
      <c r="F253" s="46">
        <f t="shared" si="53"/>
        <v>2600</v>
      </c>
      <c r="G253" s="46">
        <f t="shared" si="53"/>
        <v>0</v>
      </c>
      <c r="H253" s="46">
        <f t="shared" si="53"/>
        <v>2600</v>
      </c>
      <c r="I253" s="47">
        <f t="shared" si="53"/>
        <v>0</v>
      </c>
      <c r="J253" s="88"/>
      <c r="K253" s="47">
        <f t="shared" si="53"/>
        <v>0</v>
      </c>
      <c r="L253" s="46">
        <f t="shared" si="53"/>
        <v>2600</v>
      </c>
      <c r="M253" s="46">
        <f t="shared" si="53"/>
        <v>0</v>
      </c>
      <c r="N253" s="46">
        <f t="shared" si="53"/>
        <v>2600</v>
      </c>
      <c r="O253" s="94"/>
      <c r="P253" s="94"/>
    </row>
    <row r="254" spans="1:16" ht="31.5" x14ac:dyDescent="0.2">
      <c r="A254" s="42"/>
      <c r="B254" s="43" t="s">
        <v>333</v>
      </c>
      <c r="C254" s="44" t="s">
        <v>334</v>
      </c>
      <c r="D254" s="45" t="s">
        <v>26</v>
      </c>
      <c r="E254" s="105"/>
      <c r="F254" s="46">
        <f>F255+F256</f>
        <v>2600</v>
      </c>
      <c r="G254" s="46">
        <f>G255+G256</f>
        <v>0</v>
      </c>
      <c r="H254" s="46">
        <f>H255+H256</f>
        <v>2600</v>
      </c>
      <c r="I254" s="47">
        <f>I255+I256</f>
        <v>0</v>
      </c>
      <c r="J254" s="88"/>
      <c r="K254" s="47">
        <f>K255+K256</f>
        <v>0</v>
      </c>
      <c r="L254" s="46">
        <f>L255+L256</f>
        <v>2600</v>
      </c>
      <c r="M254" s="46">
        <f>M255+M256</f>
        <v>0</v>
      </c>
      <c r="N254" s="46">
        <f>N255+N256</f>
        <v>2600</v>
      </c>
      <c r="O254" s="94"/>
      <c r="P254" s="94"/>
    </row>
    <row r="255" spans="1:16" ht="31.5" x14ac:dyDescent="0.2">
      <c r="A255" s="42"/>
      <c r="B255" s="43" t="s">
        <v>35</v>
      </c>
      <c r="C255" s="44" t="s">
        <v>334</v>
      </c>
      <c r="D255" s="45" t="s">
        <v>36</v>
      </c>
      <c r="E255" s="105"/>
      <c r="F255" s="46">
        <v>2536.8000000000002</v>
      </c>
      <c r="G255" s="46"/>
      <c r="H255" s="46">
        <v>2536.8000000000002</v>
      </c>
      <c r="I255" s="47">
        <v>0</v>
      </c>
      <c r="J255" s="88"/>
      <c r="K255" s="47">
        <v>0</v>
      </c>
      <c r="L255" s="46">
        <v>2536.8000000000002</v>
      </c>
      <c r="M255" s="46"/>
      <c r="N255" s="46">
        <v>2536.8000000000002</v>
      </c>
      <c r="O255" s="94"/>
      <c r="P255" s="94"/>
    </row>
    <row r="256" spans="1:16" ht="15.75" x14ac:dyDescent="0.2">
      <c r="A256" s="42"/>
      <c r="B256" s="43" t="s">
        <v>41</v>
      </c>
      <c r="C256" s="44" t="s">
        <v>334</v>
      </c>
      <c r="D256" s="45" t="s">
        <v>42</v>
      </c>
      <c r="E256" s="105"/>
      <c r="F256" s="46">
        <v>63.2</v>
      </c>
      <c r="G256" s="46"/>
      <c r="H256" s="46">
        <v>63.2</v>
      </c>
      <c r="I256" s="47">
        <v>0</v>
      </c>
      <c r="J256" s="88"/>
      <c r="K256" s="47">
        <v>0</v>
      </c>
      <c r="L256" s="46">
        <v>63.2</v>
      </c>
      <c r="M256" s="46"/>
      <c r="N256" s="46">
        <v>63.2</v>
      </c>
      <c r="O256" s="94"/>
      <c r="P256" s="94"/>
    </row>
    <row r="257" spans="1:17" ht="31.5" x14ac:dyDescent="0.2">
      <c r="A257" s="19" t="s">
        <v>335</v>
      </c>
      <c r="B257" s="20" t="s">
        <v>336</v>
      </c>
      <c r="C257" s="21" t="s">
        <v>337</v>
      </c>
      <c r="D257" s="22" t="s">
        <v>26</v>
      </c>
      <c r="E257" s="104"/>
      <c r="F257" s="23">
        <f>F258+F268</f>
        <v>15165.1</v>
      </c>
      <c r="G257" s="23">
        <f>G258+G268+G265</f>
        <v>14485.599999999999</v>
      </c>
      <c r="H257" s="23">
        <f>H258+H268+H265</f>
        <v>29650.7</v>
      </c>
      <c r="I257" s="24">
        <f t="shared" ref="F257:N258" si="54">I258</f>
        <v>72045</v>
      </c>
      <c r="J257" s="23">
        <f>J258+J268</f>
        <v>47345.5</v>
      </c>
      <c r="K257" s="24">
        <f t="shared" si="54"/>
        <v>119390.5</v>
      </c>
      <c r="L257" s="23">
        <f>L258+L268</f>
        <v>87210.1</v>
      </c>
      <c r="M257" s="23">
        <f>M258+M268+M265</f>
        <v>61831.1</v>
      </c>
      <c r="N257" s="23">
        <f>N258+N268+N265</f>
        <v>149041.20000000001</v>
      </c>
      <c r="O257" s="93"/>
      <c r="P257" s="93"/>
    </row>
    <row r="258" spans="1:17" ht="15.75" x14ac:dyDescent="0.2">
      <c r="A258" s="49"/>
      <c r="B258" s="50" t="s">
        <v>338</v>
      </c>
      <c r="C258" s="51" t="s">
        <v>339</v>
      </c>
      <c r="D258" s="52" t="s">
        <v>26</v>
      </c>
      <c r="E258" s="106"/>
      <c r="F258" s="53">
        <f t="shared" si="54"/>
        <v>13201.1</v>
      </c>
      <c r="G258" s="53">
        <f t="shared" si="54"/>
        <v>6383.5999999999995</v>
      </c>
      <c r="H258" s="53">
        <f t="shared" si="54"/>
        <v>19584.7</v>
      </c>
      <c r="I258" s="54">
        <f t="shared" si="54"/>
        <v>72045</v>
      </c>
      <c r="J258" s="53">
        <f t="shared" si="54"/>
        <v>47345.5</v>
      </c>
      <c r="K258" s="54">
        <f t="shared" si="54"/>
        <v>119390.5</v>
      </c>
      <c r="L258" s="53">
        <f t="shared" si="54"/>
        <v>85246.1</v>
      </c>
      <c r="M258" s="53">
        <f t="shared" si="54"/>
        <v>53729.1</v>
      </c>
      <c r="N258" s="53">
        <f t="shared" si="54"/>
        <v>138975.20000000001</v>
      </c>
      <c r="O258" s="95"/>
      <c r="P258" s="95"/>
    </row>
    <row r="259" spans="1:17" ht="47.25" x14ac:dyDescent="0.2">
      <c r="A259" s="42"/>
      <c r="B259" s="43" t="s">
        <v>340</v>
      </c>
      <c r="C259" s="44" t="s">
        <v>341</v>
      </c>
      <c r="D259" s="45" t="s">
        <v>26</v>
      </c>
      <c r="E259" s="105"/>
      <c r="F259" s="46">
        <f>F260+F263</f>
        <v>13201.1</v>
      </c>
      <c r="G259" s="46">
        <f>G260+G263</f>
        <v>6383.5999999999995</v>
      </c>
      <c r="H259" s="46">
        <f>H260+H263</f>
        <v>19584.7</v>
      </c>
      <c r="I259" s="47">
        <f>I260+I263</f>
        <v>72045</v>
      </c>
      <c r="J259" s="88">
        <f>SUM(J263)</f>
        <v>47345.5</v>
      </c>
      <c r="K259" s="47">
        <f>K260+K263</f>
        <v>119390.5</v>
      </c>
      <c r="L259" s="46">
        <f>L260+L263</f>
        <v>85246.1</v>
      </c>
      <c r="M259" s="46">
        <f>M260+M263</f>
        <v>53729.1</v>
      </c>
      <c r="N259" s="46">
        <f>N260+N263</f>
        <v>138975.20000000001</v>
      </c>
      <c r="O259" s="94"/>
      <c r="P259" s="94"/>
    </row>
    <row r="260" spans="1:17" ht="36" customHeight="1" x14ac:dyDescent="0.2">
      <c r="A260" s="42"/>
      <c r="B260" s="43" t="s">
        <v>342</v>
      </c>
      <c r="C260" s="44" t="s">
        <v>343</v>
      </c>
      <c r="D260" s="45" t="s">
        <v>26</v>
      </c>
      <c r="E260" s="105"/>
      <c r="F260" s="46">
        <f>F261+F262</f>
        <v>600</v>
      </c>
      <c r="G260" s="46">
        <f>G261+G262</f>
        <v>6383.5999999999995</v>
      </c>
      <c r="H260" s="46">
        <f>H261+H262</f>
        <v>6983.5999999999995</v>
      </c>
      <c r="I260" s="47">
        <f>I261+I262</f>
        <v>0</v>
      </c>
      <c r="J260" s="88"/>
      <c r="K260" s="47">
        <f>K261+K262</f>
        <v>0</v>
      </c>
      <c r="L260" s="46">
        <f>L261+L262</f>
        <v>600</v>
      </c>
      <c r="M260" s="46">
        <f>M261+M262</f>
        <v>6383.5999999999995</v>
      </c>
      <c r="N260" s="46">
        <f>N261+N262</f>
        <v>6983.5999999999995</v>
      </c>
      <c r="O260" s="94"/>
      <c r="P260" s="94"/>
    </row>
    <row r="261" spans="1:17" ht="31.5" x14ac:dyDescent="0.2">
      <c r="A261" s="42"/>
      <c r="B261" s="43" t="s">
        <v>35</v>
      </c>
      <c r="C261" s="44" t="s">
        <v>343</v>
      </c>
      <c r="D261" s="45" t="s">
        <v>36</v>
      </c>
      <c r="E261" s="105"/>
      <c r="F261" s="46">
        <v>600</v>
      </c>
      <c r="G261" s="46">
        <v>598</v>
      </c>
      <c r="H261" s="46">
        <f>600+G261</f>
        <v>1198</v>
      </c>
      <c r="I261" s="47">
        <v>0</v>
      </c>
      <c r="J261" s="88"/>
      <c r="K261" s="47">
        <v>0</v>
      </c>
      <c r="L261" s="46">
        <v>600</v>
      </c>
      <c r="M261" s="71">
        <f>SUM(G261)</f>
        <v>598</v>
      </c>
      <c r="N261" s="46">
        <f>600+M261</f>
        <v>1198</v>
      </c>
      <c r="O261" s="94"/>
      <c r="P261" s="94"/>
    </row>
    <row r="262" spans="1:17" ht="31.5" x14ac:dyDescent="0.2">
      <c r="A262" s="42"/>
      <c r="B262" s="43" t="s">
        <v>131</v>
      </c>
      <c r="C262" s="44" t="s">
        <v>343</v>
      </c>
      <c r="D262" s="45" t="s">
        <v>132</v>
      </c>
      <c r="E262" s="105"/>
      <c r="F262" s="71">
        <f>2803.6+840-1820-983.6-840</f>
        <v>0</v>
      </c>
      <c r="G262" s="71">
        <f>1013.4+4772.2</f>
        <v>5785.5999999999995</v>
      </c>
      <c r="H262" s="71">
        <f>SUM(G262)</f>
        <v>5785.5999999999995</v>
      </c>
      <c r="I262" s="47">
        <v>0</v>
      </c>
      <c r="J262" s="114"/>
      <c r="K262" s="47">
        <v>0</v>
      </c>
      <c r="L262" s="71">
        <f>2803.6+840-1820-983.6-840</f>
        <v>0</v>
      </c>
      <c r="M262" s="71">
        <f>SUM(G262)</f>
        <v>5785.5999999999995</v>
      </c>
      <c r="N262" s="71">
        <f>SUM(M262)</f>
        <v>5785.5999999999995</v>
      </c>
      <c r="O262" s="94"/>
      <c r="P262" s="94"/>
    </row>
    <row r="263" spans="1:17" ht="15.75" x14ac:dyDescent="0.2">
      <c r="A263" s="42"/>
      <c r="B263" s="43" t="s">
        <v>344</v>
      </c>
      <c r="C263" s="44" t="s">
        <v>345</v>
      </c>
      <c r="D263" s="45" t="s">
        <v>26</v>
      </c>
      <c r="E263" s="105"/>
      <c r="F263" s="46">
        <f>F264</f>
        <v>12601.1</v>
      </c>
      <c r="G263" s="46">
        <f>G264</f>
        <v>0</v>
      </c>
      <c r="H263" s="46">
        <f>H264</f>
        <v>12601.1</v>
      </c>
      <c r="I263" s="47">
        <f>I264</f>
        <v>72045</v>
      </c>
      <c r="J263" s="113">
        <v>47345.5</v>
      </c>
      <c r="K263" s="47">
        <f>K264</f>
        <v>119390.5</v>
      </c>
      <c r="L263" s="46">
        <f>L264</f>
        <v>84646.1</v>
      </c>
      <c r="M263" s="46">
        <f>M264</f>
        <v>47345.5</v>
      </c>
      <c r="N263" s="46">
        <f>N264</f>
        <v>131991.6</v>
      </c>
      <c r="O263" s="94"/>
      <c r="P263" s="94"/>
    </row>
    <row r="264" spans="1:17" ht="31.5" x14ac:dyDescent="0.2">
      <c r="A264" s="42"/>
      <c r="B264" s="43" t="s">
        <v>131</v>
      </c>
      <c r="C264" s="44" t="s">
        <v>345</v>
      </c>
      <c r="D264" s="45" t="s">
        <v>132</v>
      </c>
      <c r="E264" s="105"/>
      <c r="F264" s="77">
        <f>10781.1-840+1820+840</f>
        <v>12601.1</v>
      </c>
      <c r="G264" s="77"/>
      <c r="H264" s="77">
        <f>10781.1-840+1820+840</f>
        <v>12601.1</v>
      </c>
      <c r="I264" s="47">
        <f>60865+11180</f>
        <v>72045</v>
      </c>
      <c r="J264" s="113">
        <v>47345.5</v>
      </c>
      <c r="K264" s="47">
        <f>60865+11180+J264</f>
        <v>119390.5</v>
      </c>
      <c r="L264" s="77">
        <f>10781.1-840+1820+840+I264</f>
        <v>84646.1</v>
      </c>
      <c r="M264" s="77">
        <f>SUM(J264)</f>
        <v>47345.5</v>
      </c>
      <c r="N264" s="77">
        <f>10781.1-840+1820+840+K264</f>
        <v>131991.6</v>
      </c>
      <c r="O264" s="94"/>
      <c r="P264" s="94"/>
    </row>
    <row r="265" spans="1:17" ht="15.75" x14ac:dyDescent="0.2">
      <c r="A265" s="42"/>
      <c r="B265" s="43" t="s">
        <v>346</v>
      </c>
      <c r="C265" s="44" t="s">
        <v>347</v>
      </c>
      <c r="D265" s="45"/>
      <c r="E265" s="105"/>
      <c r="F265" s="77"/>
      <c r="G265" s="77">
        <f>SUM(G267)</f>
        <v>8102</v>
      </c>
      <c r="H265" s="77">
        <f>SUM(G265)</f>
        <v>8102</v>
      </c>
      <c r="I265" s="47"/>
      <c r="J265" s="113"/>
      <c r="K265" s="47"/>
      <c r="L265" s="77"/>
      <c r="M265" s="77">
        <f>SUM(G265)</f>
        <v>8102</v>
      </c>
      <c r="N265" s="77">
        <f>SUM(M265)</f>
        <v>8102</v>
      </c>
      <c r="O265" s="94"/>
      <c r="P265" s="94"/>
    </row>
    <row r="266" spans="1:17" ht="1.5" customHeight="1" x14ac:dyDescent="0.2">
      <c r="A266" s="42"/>
      <c r="B266" s="43"/>
      <c r="C266" s="44"/>
      <c r="D266" s="45"/>
      <c r="E266" s="105"/>
      <c r="F266" s="77"/>
      <c r="G266" s="77">
        <f>SUM(G267)</f>
        <v>8102</v>
      </c>
      <c r="H266" s="77">
        <f>SUM(G266)</f>
        <v>8102</v>
      </c>
      <c r="I266" s="47"/>
      <c r="J266" s="113"/>
      <c r="K266" s="47"/>
      <c r="L266" s="77"/>
      <c r="M266" s="77">
        <f>SUM(G266)</f>
        <v>8102</v>
      </c>
      <c r="N266" s="77">
        <f>SUM(M266)</f>
        <v>8102</v>
      </c>
      <c r="O266" s="94"/>
      <c r="P266" s="94"/>
    </row>
    <row r="267" spans="1:17" ht="31.5" x14ac:dyDescent="0.2">
      <c r="A267" s="42"/>
      <c r="B267" s="43" t="s">
        <v>131</v>
      </c>
      <c r="C267" s="44" t="s">
        <v>347</v>
      </c>
      <c r="D267" s="45" t="s">
        <v>132</v>
      </c>
      <c r="E267" s="105"/>
      <c r="F267" s="77"/>
      <c r="G267" s="77">
        <v>8102</v>
      </c>
      <c r="H267" s="77">
        <f>SUM(G267)</f>
        <v>8102</v>
      </c>
      <c r="I267" s="47"/>
      <c r="J267" s="113"/>
      <c r="K267" s="47"/>
      <c r="L267" s="77"/>
      <c r="M267" s="77">
        <f>SUM(G267)</f>
        <v>8102</v>
      </c>
      <c r="N267" s="77">
        <f>SUM(M267)</f>
        <v>8102</v>
      </c>
      <c r="O267" s="94"/>
      <c r="P267" s="94"/>
    </row>
    <row r="268" spans="1:17" ht="15.75" x14ac:dyDescent="0.2">
      <c r="A268" s="42"/>
      <c r="B268" s="50" t="s">
        <v>348</v>
      </c>
      <c r="C268" s="51" t="s">
        <v>349</v>
      </c>
      <c r="D268" s="52"/>
      <c r="E268" s="106"/>
      <c r="F268" s="53">
        <f>SUM(F270)</f>
        <v>1964</v>
      </c>
      <c r="G268" s="53">
        <f>SUM(G270)</f>
        <v>0</v>
      </c>
      <c r="H268" s="53">
        <f>SUM(H270)</f>
        <v>1964</v>
      </c>
      <c r="I268" s="54"/>
      <c r="J268" s="53">
        <f>SUM(J270)</f>
        <v>0</v>
      </c>
      <c r="K268" s="54"/>
      <c r="L268" s="53">
        <f>SUM(L270)</f>
        <v>1964</v>
      </c>
      <c r="M268" s="53">
        <f>SUM(M270)</f>
        <v>0</v>
      </c>
      <c r="N268" s="53">
        <f>SUM(N270)</f>
        <v>1964</v>
      </c>
      <c r="O268" s="95"/>
      <c r="P268" s="95"/>
    </row>
    <row r="269" spans="1:17" ht="47.25" x14ac:dyDescent="0.2">
      <c r="A269" s="42"/>
      <c r="B269" s="43" t="s">
        <v>350</v>
      </c>
      <c r="C269" s="44" t="s">
        <v>351</v>
      </c>
      <c r="D269" s="45"/>
      <c r="E269" s="105"/>
      <c r="F269" s="46">
        <f>SUM(F270)</f>
        <v>1964</v>
      </c>
      <c r="G269" s="46">
        <f>SUM(G270)</f>
        <v>0</v>
      </c>
      <c r="H269" s="46">
        <f>SUM(H270)</f>
        <v>1964</v>
      </c>
      <c r="I269" s="47"/>
      <c r="J269" s="88"/>
      <c r="K269" s="47"/>
      <c r="L269" s="46">
        <f>SUM(L270)</f>
        <v>1964</v>
      </c>
      <c r="M269" s="46">
        <f>SUM(M270)</f>
        <v>0</v>
      </c>
      <c r="N269" s="46">
        <f>SUM(N270)</f>
        <v>1964</v>
      </c>
      <c r="O269" s="94"/>
      <c r="P269" s="94"/>
    </row>
    <row r="270" spans="1:17" ht="15.75" x14ac:dyDescent="0.2">
      <c r="A270" s="42"/>
      <c r="B270" s="43" t="s">
        <v>348</v>
      </c>
      <c r="C270" s="44" t="s">
        <v>352</v>
      </c>
      <c r="D270" s="45"/>
      <c r="E270" s="105"/>
      <c r="F270" s="46">
        <v>1964</v>
      </c>
      <c r="G270" s="46"/>
      <c r="H270" s="46">
        <v>1964</v>
      </c>
      <c r="I270" s="47"/>
      <c r="J270" s="88"/>
      <c r="K270" s="47"/>
      <c r="L270" s="46">
        <v>1964</v>
      </c>
      <c r="M270" s="46"/>
      <c r="N270" s="46">
        <v>1964</v>
      </c>
      <c r="O270" s="94"/>
      <c r="P270" s="94"/>
    </row>
    <row r="271" spans="1:17" ht="31.5" x14ac:dyDescent="0.2">
      <c r="A271" s="42"/>
      <c r="B271" s="43" t="s">
        <v>131</v>
      </c>
      <c r="C271" s="44" t="s">
        <v>352</v>
      </c>
      <c r="D271" s="45" t="s">
        <v>132</v>
      </c>
      <c r="E271" s="105"/>
      <c r="F271" s="46">
        <v>1964</v>
      </c>
      <c r="G271" s="46"/>
      <c r="H271" s="46">
        <v>1964</v>
      </c>
      <c r="I271" s="47"/>
      <c r="J271" s="88"/>
      <c r="K271" s="47"/>
      <c r="L271" s="46">
        <v>1964</v>
      </c>
      <c r="M271" s="46"/>
      <c r="N271" s="46">
        <v>1964</v>
      </c>
      <c r="O271" s="94"/>
      <c r="P271" s="94"/>
    </row>
    <row r="272" spans="1:17" ht="31.5" x14ac:dyDescent="0.2">
      <c r="A272" s="19" t="s">
        <v>353</v>
      </c>
      <c r="B272" s="20" t="s">
        <v>354</v>
      </c>
      <c r="C272" s="21" t="s">
        <v>355</v>
      </c>
      <c r="D272" s="22" t="s">
        <v>26</v>
      </c>
      <c r="E272" s="104"/>
      <c r="F272" s="23">
        <f t="shared" ref="F272:N272" si="55">F273+F286+F292</f>
        <v>67100.600000000006</v>
      </c>
      <c r="G272" s="23">
        <f t="shared" si="55"/>
        <v>2828.6</v>
      </c>
      <c r="H272" s="23">
        <f t="shared" si="55"/>
        <v>69929.200000000012</v>
      </c>
      <c r="I272" s="24">
        <f t="shared" si="55"/>
        <v>0</v>
      </c>
      <c r="J272" s="23">
        <f t="shared" si="55"/>
        <v>0</v>
      </c>
      <c r="K272" s="24">
        <f t="shared" si="55"/>
        <v>0</v>
      </c>
      <c r="L272" s="23">
        <f t="shared" si="55"/>
        <v>67100.600000000006</v>
      </c>
      <c r="M272" s="23">
        <f t="shared" si="55"/>
        <v>2828.6</v>
      </c>
      <c r="N272" s="23">
        <f t="shared" si="55"/>
        <v>69929.200000000012</v>
      </c>
      <c r="O272" s="93"/>
      <c r="P272" s="93"/>
      <c r="Q272" s="25"/>
    </row>
    <row r="273" spans="1:17" ht="15.75" x14ac:dyDescent="0.2">
      <c r="A273" s="49"/>
      <c r="B273" s="50" t="s">
        <v>356</v>
      </c>
      <c r="C273" s="51" t="s">
        <v>357</v>
      </c>
      <c r="D273" s="52" t="s">
        <v>26</v>
      </c>
      <c r="E273" s="106"/>
      <c r="F273" s="53">
        <f t="shared" ref="F273:N273" si="56">F274+F279</f>
        <v>44519.8</v>
      </c>
      <c r="G273" s="53">
        <f>G274+G283</f>
        <v>2828.6</v>
      </c>
      <c r="H273" s="53">
        <f t="shared" si="56"/>
        <v>47348.4</v>
      </c>
      <c r="I273" s="54">
        <f t="shared" si="56"/>
        <v>0</v>
      </c>
      <c r="J273" s="53">
        <f t="shared" si="56"/>
        <v>0</v>
      </c>
      <c r="K273" s="54">
        <f t="shared" si="56"/>
        <v>0</v>
      </c>
      <c r="L273" s="53">
        <f t="shared" si="56"/>
        <v>44519.8</v>
      </c>
      <c r="M273" s="53">
        <f t="shared" si="56"/>
        <v>2828.6</v>
      </c>
      <c r="N273" s="53">
        <f t="shared" si="56"/>
        <v>47348.4</v>
      </c>
      <c r="O273" s="95"/>
      <c r="P273" s="95"/>
      <c r="Q273" s="55"/>
    </row>
    <row r="274" spans="1:17" ht="15.75" x14ac:dyDescent="0.2">
      <c r="A274" s="42"/>
      <c r="B274" s="43" t="s">
        <v>358</v>
      </c>
      <c r="C274" s="44" t="s">
        <v>359</v>
      </c>
      <c r="D274" s="45" t="s">
        <v>26</v>
      </c>
      <c r="E274" s="105"/>
      <c r="F274" s="46">
        <f>F275</f>
        <v>34239.300000000003</v>
      </c>
      <c r="G274" s="46">
        <f>G275</f>
        <v>2228.6</v>
      </c>
      <c r="H274" s="46">
        <f>H275</f>
        <v>36467.9</v>
      </c>
      <c r="I274" s="47">
        <f>I275</f>
        <v>0</v>
      </c>
      <c r="J274" s="88"/>
      <c r="K274" s="47">
        <f>K275</f>
        <v>0</v>
      </c>
      <c r="L274" s="46">
        <f>L275</f>
        <v>34239.300000000003</v>
      </c>
      <c r="M274" s="46">
        <f>M275</f>
        <v>2228.6</v>
      </c>
      <c r="N274" s="46">
        <f>N275</f>
        <v>36467.9</v>
      </c>
      <c r="O274" s="94"/>
      <c r="P274" s="94"/>
    </row>
    <row r="275" spans="1:17" ht="31.5" x14ac:dyDescent="0.2">
      <c r="A275" s="42"/>
      <c r="B275" s="43" t="s">
        <v>39</v>
      </c>
      <c r="C275" s="44" t="s">
        <v>360</v>
      </c>
      <c r="D275" s="45" t="s">
        <v>26</v>
      </c>
      <c r="E275" s="105"/>
      <c r="F275" s="46">
        <f>F276+F277+F278</f>
        <v>34239.300000000003</v>
      </c>
      <c r="G275" s="46">
        <f>G276+G277</f>
        <v>2228.6</v>
      </c>
      <c r="H275" s="46">
        <f>H276+H277+H278</f>
        <v>36467.9</v>
      </c>
      <c r="I275" s="47">
        <f>I276+I277+I278</f>
        <v>0</v>
      </c>
      <c r="J275" s="88"/>
      <c r="K275" s="47">
        <f>K276+K277+K278</f>
        <v>0</v>
      </c>
      <c r="L275" s="46">
        <f>L276+L277+L278</f>
        <v>34239.300000000003</v>
      </c>
      <c r="M275" s="46">
        <f>M276+M277+M278</f>
        <v>2228.6</v>
      </c>
      <c r="N275" s="46">
        <f>N276+N277+N278</f>
        <v>36467.9</v>
      </c>
      <c r="O275" s="94"/>
      <c r="P275" s="94"/>
    </row>
    <row r="276" spans="1:17" ht="64.150000000000006" customHeight="1" x14ac:dyDescent="0.2">
      <c r="A276" s="42"/>
      <c r="B276" s="43" t="s">
        <v>31</v>
      </c>
      <c r="C276" s="44" t="s">
        <v>360</v>
      </c>
      <c r="D276" s="45" t="s">
        <v>32</v>
      </c>
      <c r="E276" s="105"/>
      <c r="F276" s="46">
        <v>23794</v>
      </c>
      <c r="G276" s="46">
        <v>1745</v>
      </c>
      <c r="H276" s="46">
        <f>23794+G276</f>
        <v>25539</v>
      </c>
      <c r="I276" s="47">
        <v>0</v>
      </c>
      <c r="J276" s="88"/>
      <c r="K276" s="47">
        <v>0</v>
      </c>
      <c r="L276" s="46">
        <v>23794</v>
      </c>
      <c r="M276" s="46">
        <f>SUM(G276)</f>
        <v>1745</v>
      </c>
      <c r="N276" s="46">
        <f>23794+M276</f>
        <v>25539</v>
      </c>
      <c r="O276" s="94"/>
      <c r="P276" s="94"/>
    </row>
    <row r="277" spans="1:17" ht="31.5" x14ac:dyDescent="0.2">
      <c r="A277" s="42"/>
      <c r="B277" s="43" t="s">
        <v>35</v>
      </c>
      <c r="C277" s="44" t="s">
        <v>360</v>
      </c>
      <c r="D277" s="45" t="s">
        <v>36</v>
      </c>
      <c r="E277" s="105"/>
      <c r="F277" s="46">
        <v>10367.9</v>
      </c>
      <c r="G277" s="46">
        <v>483.6</v>
      </c>
      <c r="H277" s="46">
        <f>10367.9+G277</f>
        <v>10851.5</v>
      </c>
      <c r="I277" s="47">
        <v>0</v>
      </c>
      <c r="J277" s="88"/>
      <c r="K277" s="47">
        <v>0</v>
      </c>
      <c r="L277" s="46">
        <v>10367.9</v>
      </c>
      <c r="M277" s="46">
        <f>SUM(G277)</f>
        <v>483.6</v>
      </c>
      <c r="N277" s="46">
        <f>10367.9+M277</f>
        <v>10851.5</v>
      </c>
      <c r="O277" s="94"/>
      <c r="P277" s="94"/>
    </row>
    <row r="278" spans="1:17" ht="15.75" x14ac:dyDescent="0.2">
      <c r="A278" s="42"/>
      <c r="B278" s="43" t="s">
        <v>41</v>
      </c>
      <c r="C278" s="44" t="s">
        <v>360</v>
      </c>
      <c r="D278" s="45" t="s">
        <v>42</v>
      </c>
      <c r="E278" s="105"/>
      <c r="F278" s="46">
        <v>77.400000000000006</v>
      </c>
      <c r="G278" s="46"/>
      <c r="H278" s="46">
        <v>77.400000000000006</v>
      </c>
      <c r="I278" s="47">
        <v>0</v>
      </c>
      <c r="J278" s="88"/>
      <c r="K278" s="47">
        <v>0</v>
      </c>
      <c r="L278" s="46">
        <v>77.400000000000006</v>
      </c>
      <c r="M278" s="46"/>
      <c r="N278" s="46">
        <v>77.400000000000006</v>
      </c>
      <c r="O278" s="94"/>
      <c r="P278" s="94"/>
    </row>
    <row r="279" spans="1:17" ht="31.5" x14ac:dyDescent="0.2">
      <c r="A279" s="42"/>
      <c r="B279" s="43" t="s">
        <v>361</v>
      </c>
      <c r="C279" s="44" t="s">
        <v>362</v>
      </c>
      <c r="D279" s="45" t="s">
        <v>26</v>
      </c>
      <c r="E279" s="105"/>
      <c r="F279" s="46">
        <f>F280+F283</f>
        <v>10280.5</v>
      </c>
      <c r="G279" s="46">
        <f>G280+G283</f>
        <v>600</v>
      </c>
      <c r="H279" s="46">
        <f>H280+H283</f>
        <v>10880.5</v>
      </c>
      <c r="I279" s="47">
        <f>I280+I283</f>
        <v>0</v>
      </c>
      <c r="J279" s="88"/>
      <c r="K279" s="47">
        <f>K280+K283</f>
        <v>0</v>
      </c>
      <c r="L279" s="46">
        <f>L280+L283</f>
        <v>10280.5</v>
      </c>
      <c r="M279" s="46">
        <f>M280+M283</f>
        <v>600</v>
      </c>
      <c r="N279" s="46">
        <f>N280+N283</f>
        <v>10880.5</v>
      </c>
      <c r="O279" s="94"/>
      <c r="P279" s="94"/>
    </row>
    <row r="280" spans="1:17" ht="31.5" x14ac:dyDescent="0.2">
      <c r="A280" s="42"/>
      <c r="B280" s="43" t="s">
        <v>39</v>
      </c>
      <c r="C280" s="44" t="s">
        <v>363</v>
      </c>
      <c r="D280" s="45" t="s">
        <v>26</v>
      </c>
      <c r="E280" s="105"/>
      <c r="F280" s="46">
        <f>F281+F282</f>
        <v>9205.9</v>
      </c>
      <c r="G280" s="46">
        <f>G281+G282</f>
        <v>0</v>
      </c>
      <c r="H280" s="46">
        <f>H281+H282</f>
        <v>9205.9</v>
      </c>
      <c r="I280" s="47">
        <f>I281+I282</f>
        <v>0</v>
      </c>
      <c r="J280" s="88"/>
      <c r="K280" s="47">
        <f>K281+K282</f>
        <v>0</v>
      </c>
      <c r="L280" s="46">
        <f>L281+L282</f>
        <v>9205.9</v>
      </c>
      <c r="M280" s="46">
        <f>M281+M282</f>
        <v>0</v>
      </c>
      <c r="N280" s="46">
        <f>N281+N282</f>
        <v>9205.9</v>
      </c>
      <c r="O280" s="94"/>
      <c r="P280" s="94"/>
    </row>
    <row r="281" spans="1:17" ht="64.150000000000006" customHeight="1" x14ac:dyDescent="0.2">
      <c r="A281" s="42"/>
      <c r="B281" s="43" t="s">
        <v>31</v>
      </c>
      <c r="C281" s="44" t="s">
        <v>363</v>
      </c>
      <c r="D281" s="45" t="s">
        <v>32</v>
      </c>
      <c r="E281" s="105"/>
      <c r="F281" s="46">
        <v>8505.9</v>
      </c>
      <c r="G281" s="46"/>
      <c r="H281" s="46">
        <v>8505.9</v>
      </c>
      <c r="I281" s="47">
        <v>0</v>
      </c>
      <c r="J281" s="88"/>
      <c r="K281" s="47">
        <v>0</v>
      </c>
      <c r="L281" s="46">
        <v>8505.9</v>
      </c>
      <c r="M281" s="46"/>
      <c r="N281" s="46">
        <v>8505.9</v>
      </c>
      <c r="O281" s="94"/>
      <c r="P281" s="94"/>
    </row>
    <row r="282" spans="1:17" ht="31.5" x14ac:dyDescent="0.2">
      <c r="A282" s="42"/>
      <c r="B282" s="43" t="s">
        <v>35</v>
      </c>
      <c r="C282" s="44" t="s">
        <v>363</v>
      </c>
      <c r="D282" s="45" t="s">
        <v>36</v>
      </c>
      <c r="E282" s="105"/>
      <c r="F282" s="46">
        <v>700</v>
      </c>
      <c r="G282" s="46"/>
      <c r="H282" s="46">
        <v>700</v>
      </c>
      <c r="I282" s="47">
        <v>0</v>
      </c>
      <c r="J282" s="88"/>
      <c r="K282" s="47">
        <v>0</v>
      </c>
      <c r="L282" s="46">
        <v>700</v>
      </c>
      <c r="M282" s="46"/>
      <c r="N282" s="46">
        <v>700</v>
      </c>
      <c r="O282" s="94"/>
      <c r="P282" s="94"/>
    </row>
    <row r="283" spans="1:17" ht="31.5" x14ac:dyDescent="0.2">
      <c r="A283" s="42"/>
      <c r="B283" s="43" t="s">
        <v>364</v>
      </c>
      <c r="C283" s="44" t="s">
        <v>365</v>
      </c>
      <c r="D283" s="45" t="s">
        <v>26</v>
      </c>
      <c r="E283" s="105"/>
      <c r="F283" s="46">
        <f>F284+F285</f>
        <v>1074.5999999999999</v>
      </c>
      <c r="G283" s="46">
        <f>SUM(G284)</f>
        <v>600</v>
      </c>
      <c r="H283" s="46">
        <f>H284+H285</f>
        <v>1674.6</v>
      </c>
      <c r="I283" s="47">
        <f>I284+I285</f>
        <v>0</v>
      </c>
      <c r="J283" s="88"/>
      <c r="K283" s="47">
        <f>K284+K285</f>
        <v>0</v>
      </c>
      <c r="L283" s="46">
        <f>L284+L285</f>
        <v>1074.5999999999999</v>
      </c>
      <c r="M283" s="46">
        <f>SUM(M284)</f>
        <v>600</v>
      </c>
      <c r="N283" s="46">
        <f>N284+N285</f>
        <v>1674.6</v>
      </c>
      <c r="O283" s="94"/>
      <c r="P283" s="94"/>
    </row>
    <row r="284" spans="1:17" ht="31.5" x14ac:dyDescent="0.2">
      <c r="A284" s="42"/>
      <c r="B284" s="43" t="s">
        <v>35</v>
      </c>
      <c r="C284" s="44" t="s">
        <v>365</v>
      </c>
      <c r="D284" s="45" t="s">
        <v>36</v>
      </c>
      <c r="E284" s="105"/>
      <c r="F284" s="46">
        <f>1000.2-745.2</f>
        <v>255</v>
      </c>
      <c r="G284" s="46">
        <v>600</v>
      </c>
      <c r="H284" s="46">
        <f>1000.2-745.2+G284</f>
        <v>855</v>
      </c>
      <c r="I284" s="47">
        <v>0</v>
      </c>
      <c r="J284" s="88"/>
      <c r="K284" s="47">
        <v>0</v>
      </c>
      <c r="L284" s="46">
        <f>1000.2-745.2</f>
        <v>255</v>
      </c>
      <c r="M284" s="46">
        <f>SUM(G284)</f>
        <v>600</v>
      </c>
      <c r="N284" s="46">
        <f>1000.2-745.2+M284</f>
        <v>855</v>
      </c>
      <c r="O284" s="94"/>
      <c r="P284" s="94"/>
    </row>
    <row r="285" spans="1:17" ht="15.75" x14ac:dyDescent="0.2">
      <c r="A285" s="42"/>
      <c r="B285" s="43" t="s">
        <v>41</v>
      </c>
      <c r="C285" s="44" t="s">
        <v>365</v>
      </c>
      <c r="D285" s="45" t="s">
        <v>42</v>
      </c>
      <c r="E285" s="105"/>
      <c r="F285" s="46">
        <f>74.4+745.2</f>
        <v>819.6</v>
      </c>
      <c r="G285" s="46"/>
      <c r="H285" s="46">
        <f>74.4+745.2</f>
        <v>819.6</v>
      </c>
      <c r="I285" s="47">
        <v>0</v>
      </c>
      <c r="J285" s="88"/>
      <c r="K285" s="47">
        <v>0</v>
      </c>
      <c r="L285" s="46">
        <f>74.4+745.2</f>
        <v>819.6</v>
      </c>
      <c r="M285" s="46"/>
      <c r="N285" s="46">
        <f>74.4+745.2</f>
        <v>819.6</v>
      </c>
      <c r="O285" s="94"/>
      <c r="P285" s="94"/>
    </row>
    <row r="286" spans="1:17" ht="15.75" x14ac:dyDescent="0.2">
      <c r="A286" s="49"/>
      <c r="B286" s="50" t="s">
        <v>366</v>
      </c>
      <c r="C286" s="51" t="s">
        <v>367</v>
      </c>
      <c r="D286" s="52" t="s">
        <v>26</v>
      </c>
      <c r="E286" s="106"/>
      <c r="F286" s="53">
        <f t="shared" ref="F286:N286" si="57">F287</f>
        <v>7170.8</v>
      </c>
      <c r="G286" s="53">
        <f t="shared" si="57"/>
        <v>0</v>
      </c>
      <c r="H286" s="53">
        <f t="shared" si="57"/>
        <v>7170.8</v>
      </c>
      <c r="I286" s="54">
        <f t="shared" si="57"/>
        <v>0</v>
      </c>
      <c r="J286" s="53">
        <f t="shared" si="57"/>
        <v>0</v>
      </c>
      <c r="K286" s="54">
        <f t="shared" si="57"/>
        <v>0</v>
      </c>
      <c r="L286" s="53">
        <f t="shared" si="57"/>
        <v>7170.8</v>
      </c>
      <c r="M286" s="53">
        <f t="shared" si="57"/>
        <v>0</v>
      </c>
      <c r="N286" s="53">
        <f t="shared" si="57"/>
        <v>7170.8</v>
      </c>
      <c r="O286" s="95"/>
      <c r="P286" s="95"/>
    </row>
    <row r="287" spans="1:17" ht="39" customHeight="1" x14ac:dyDescent="0.2">
      <c r="A287" s="42"/>
      <c r="B287" s="43" t="s">
        <v>368</v>
      </c>
      <c r="C287" s="44" t="s">
        <v>369</v>
      </c>
      <c r="D287" s="45" t="s">
        <v>26</v>
      </c>
      <c r="E287" s="105"/>
      <c r="F287" s="46">
        <f>F288+F290</f>
        <v>7170.8</v>
      </c>
      <c r="G287" s="46">
        <f>G288+G290</f>
        <v>0</v>
      </c>
      <c r="H287" s="46">
        <f>H288+H290</f>
        <v>7170.8</v>
      </c>
      <c r="I287" s="47">
        <f>I288+I290</f>
        <v>0</v>
      </c>
      <c r="J287" s="88"/>
      <c r="K287" s="47">
        <f>K288+K290</f>
        <v>0</v>
      </c>
      <c r="L287" s="46">
        <f>L288+L290</f>
        <v>7170.8</v>
      </c>
      <c r="M287" s="46">
        <f>M288+M290</f>
        <v>0</v>
      </c>
      <c r="N287" s="46">
        <f>N288+N290</f>
        <v>7170.8</v>
      </c>
      <c r="O287" s="94"/>
      <c r="P287" s="94"/>
    </row>
    <row r="288" spans="1:17" ht="15.75" x14ac:dyDescent="0.2">
      <c r="A288" s="42"/>
      <c r="B288" s="43" t="s">
        <v>370</v>
      </c>
      <c r="C288" s="44" t="s">
        <v>371</v>
      </c>
      <c r="D288" s="45" t="s">
        <v>26</v>
      </c>
      <c r="E288" s="105"/>
      <c r="F288" s="46">
        <f>F289</f>
        <v>6970.8</v>
      </c>
      <c r="G288" s="46">
        <f>G289</f>
        <v>0</v>
      </c>
      <c r="H288" s="46">
        <f>H289</f>
        <v>6970.8</v>
      </c>
      <c r="I288" s="47">
        <f>I289</f>
        <v>0</v>
      </c>
      <c r="J288" s="88"/>
      <c r="K288" s="47">
        <f>K289</f>
        <v>0</v>
      </c>
      <c r="L288" s="46">
        <f>L289</f>
        <v>6970.8</v>
      </c>
      <c r="M288" s="46">
        <f>M289</f>
        <v>0</v>
      </c>
      <c r="N288" s="46">
        <f>N289</f>
        <v>6970.8</v>
      </c>
      <c r="O288" s="94"/>
      <c r="P288" s="94"/>
    </row>
    <row r="289" spans="1:16" ht="22.15" customHeight="1" x14ac:dyDescent="0.2">
      <c r="A289" s="42"/>
      <c r="B289" s="43" t="s">
        <v>372</v>
      </c>
      <c r="C289" s="44" t="s">
        <v>371</v>
      </c>
      <c r="D289" s="45" t="s">
        <v>373</v>
      </c>
      <c r="E289" s="105"/>
      <c r="F289" s="56">
        <f>4650+2320.8</f>
        <v>6970.8</v>
      </c>
      <c r="G289" s="56"/>
      <c r="H289" s="56">
        <f>4650+2320.8</f>
        <v>6970.8</v>
      </c>
      <c r="I289" s="47">
        <v>0</v>
      </c>
      <c r="J289" s="111"/>
      <c r="K289" s="47">
        <v>0</v>
      </c>
      <c r="L289" s="56">
        <f>4650+2320.8</f>
        <v>6970.8</v>
      </c>
      <c r="M289" s="56"/>
      <c r="N289" s="56">
        <f>4650+2320.8</f>
        <v>6970.8</v>
      </c>
      <c r="O289" s="94"/>
      <c r="P289" s="94"/>
    </row>
    <row r="290" spans="1:16" ht="31.5" x14ac:dyDescent="0.2">
      <c r="A290" s="42"/>
      <c r="B290" s="43" t="s">
        <v>374</v>
      </c>
      <c r="C290" s="44" t="s">
        <v>375</v>
      </c>
      <c r="D290" s="45" t="s">
        <v>26</v>
      </c>
      <c r="E290" s="105"/>
      <c r="F290" s="46">
        <f>F291</f>
        <v>200</v>
      </c>
      <c r="G290" s="46">
        <f>G291</f>
        <v>0</v>
      </c>
      <c r="H290" s="46">
        <f>H291</f>
        <v>200</v>
      </c>
      <c r="I290" s="47">
        <f>I291</f>
        <v>0</v>
      </c>
      <c r="J290" s="88"/>
      <c r="K290" s="47">
        <f>K291</f>
        <v>0</v>
      </c>
      <c r="L290" s="46">
        <f>L291</f>
        <v>200</v>
      </c>
      <c r="M290" s="46">
        <f>M291</f>
        <v>0</v>
      </c>
      <c r="N290" s="46">
        <f>N291</f>
        <v>200</v>
      </c>
      <c r="O290" s="94"/>
      <c r="P290" s="94"/>
    </row>
    <row r="291" spans="1:16" ht="31.5" x14ac:dyDescent="0.2">
      <c r="A291" s="42"/>
      <c r="B291" s="43" t="s">
        <v>35</v>
      </c>
      <c r="C291" s="44" t="s">
        <v>375</v>
      </c>
      <c r="D291" s="45" t="s">
        <v>36</v>
      </c>
      <c r="E291" s="105"/>
      <c r="F291" s="46">
        <v>200</v>
      </c>
      <c r="G291" s="46"/>
      <c r="H291" s="46">
        <v>200</v>
      </c>
      <c r="I291" s="47">
        <v>0</v>
      </c>
      <c r="J291" s="88"/>
      <c r="K291" s="47">
        <v>0</v>
      </c>
      <c r="L291" s="46">
        <v>200</v>
      </c>
      <c r="M291" s="46"/>
      <c r="N291" s="46">
        <v>200</v>
      </c>
      <c r="O291" s="94"/>
      <c r="P291" s="94"/>
    </row>
    <row r="292" spans="1:16" ht="31.5" x14ac:dyDescent="0.2">
      <c r="A292" s="49"/>
      <c r="B292" s="50" t="s">
        <v>376</v>
      </c>
      <c r="C292" s="51" t="s">
        <v>377</v>
      </c>
      <c r="D292" s="52" t="s">
        <v>26</v>
      </c>
      <c r="E292" s="106"/>
      <c r="F292" s="53">
        <f t="shared" ref="F292:N292" si="58">F293+F297+F300</f>
        <v>15410</v>
      </c>
      <c r="G292" s="53">
        <f t="shared" si="58"/>
        <v>0</v>
      </c>
      <c r="H292" s="53">
        <f t="shared" si="58"/>
        <v>15410</v>
      </c>
      <c r="I292" s="54">
        <f t="shared" si="58"/>
        <v>0</v>
      </c>
      <c r="J292" s="53">
        <f t="shared" si="58"/>
        <v>0</v>
      </c>
      <c r="K292" s="54">
        <f t="shared" si="58"/>
        <v>0</v>
      </c>
      <c r="L292" s="53">
        <f t="shared" si="58"/>
        <v>15410</v>
      </c>
      <c r="M292" s="53">
        <f t="shared" si="58"/>
        <v>0</v>
      </c>
      <c r="N292" s="53">
        <f t="shared" si="58"/>
        <v>15410</v>
      </c>
      <c r="O292" s="95"/>
      <c r="P292" s="95"/>
    </row>
    <row r="293" spans="1:16" ht="37.9" customHeight="1" x14ac:dyDescent="0.2">
      <c r="A293" s="42"/>
      <c r="B293" s="43" t="s">
        <v>378</v>
      </c>
      <c r="C293" s="44" t="s">
        <v>379</v>
      </c>
      <c r="D293" s="45" t="s">
        <v>26</v>
      </c>
      <c r="E293" s="105"/>
      <c r="F293" s="46">
        <f>F294</f>
        <v>4150.8999999999996</v>
      </c>
      <c r="G293" s="46">
        <f>G294</f>
        <v>0</v>
      </c>
      <c r="H293" s="46">
        <f>H294</f>
        <v>4150.8999999999996</v>
      </c>
      <c r="I293" s="47">
        <f>I294</f>
        <v>0</v>
      </c>
      <c r="J293" s="88"/>
      <c r="K293" s="47">
        <f>K294</f>
        <v>0</v>
      </c>
      <c r="L293" s="46">
        <f>L294</f>
        <v>4150.8999999999996</v>
      </c>
      <c r="M293" s="46">
        <f>M294</f>
        <v>0</v>
      </c>
      <c r="N293" s="46">
        <f>N294</f>
        <v>4150.8999999999996</v>
      </c>
      <c r="O293" s="94"/>
      <c r="P293" s="94"/>
    </row>
    <row r="294" spans="1:16" ht="31.5" x14ac:dyDescent="0.2">
      <c r="A294" s="42"/>
      <c r="B294" s="43" t="s">
        <v>93</v>
      </c>
      <c r="C294" s="44" t="s">
        <v>380</v>
      </c>
      <c r="D294" s="45" t="s">
        <v>26</v>
      </c>
      <c r="E294" s="105"/>
      <c r="F294" s="46">
        <f>F295+F296</f>
        <v>4150.8999999999996</v>
      </c>
      <c r="G294" s="46">
        <f>G295+G296</f>
        <v>0</v>
      </c>
      <c r="H294" s="46">
        <f>H295+H296</f>
        <v>4150.8999999999996</v>
      </c>
      <c r="I294" s="47">
        <f>I295+I296</f>
        <v>0</v>
      </c>
      <c r="J294" s="88"/>
      <c r="K294" s="47">
        <f>K295+K296</f>
        <v>0</v>
      </c>
      <c r="L294" s="46">
        <f>L295+L296</f>
        <v>4150.8999999999996</v>
      </c>
      <c r="M294" s="46">
        <f>M295+M296</f>
        <v>0</v>
      </c>
      <c r="N294" s="46">
        <f>N295+N296</f>
        <v>4150.8999999999996</v>
      </c>
      <c r="O294" s="94"/>
      <c r="P294" s="94"/>
    </row>
    <row r="295" spans="1:16" ht="64.900000000000006" customHeight="1" x14ac:dyDescent="0.2">
      <c r="A295" s="42"/>
      <c r="B295" s="43" t="s">
        <v>31</v>
      </c>
      <c r="C295" s="44" t="s">
        <v>380</v>
      </c>
      <c r="D295" s="45" t="s">
        <v>32</v>
      </c>
      <c r="E295" s="105"/>
      <c r="F295" s="46">
        <v>4140.8999999999996</v>
      </c>
      <c r="G295" s="46"/>
      <c r="H295" s="46">
        <v>4140.8999999999996</v>
      </c>
      <c r="I295" s="47">
        <v>0</v>
      </c>
      <c r="J295" s="88"/>
      <c r="K295" s="47">
        <v>0</v>
      </c>
      <c r="L295" s="46">
        <v>4140.8999999999996</v>
      </c>
      <c r="M295" s="46"/>
      <c r="N295" s="46">
        <v>4140.8999999999996</v>
      </c>
      <c r="O295" s="94"/>
      <c r="P295" s="94"/>
    </row>
    <row r="296" spans="1:16" ht="31.5" x14ac:dyDescent="0.2">
      <c r="A296" s="42"/>
      <c r="B296" s="43" t="s">
        <v>35</v>
      </c>
      <c r="C296" s="44" t="s">
        <v>380</v>
      </c>
      <c r="D296" s="45" t="s">
        <v>36</v>
      </c>
      <c r="E296" s="105"/>
      <c r="F296" s="46">
        <v>10</v>
      </c>
      <c r="G296" s="46"/>
      <c r="H296" s="46">
        <v>10</v>
      </c>
      <c r="I296" s="47">
        <v>0</v>
      </c>
      <c r="J296" s="88"/>
      <c r="K296" s="47">
        <v>0</v>
      </c>
      <c r="L296" s="46">
        <v>10</v>
      </c>
      <c r="M296" s="46"/>
      <c r="N296" s="46">
        <v>10</v>
      </c>
      <c r="O296" s="94"/>
      <c r="P296" s="94"/>
    </row>
    <row r="297" spans="1:16" ht="47.25" x14ac:dyDescent="0.2">
      <c r="A297" s="42"/>
      <c r="B297" s="43" t="s">
        <v>381</v>
      </c>
      <c r="C297" s="44" t="s">
        <v>382</v>
      </c>
      <c r="D297" s="45" t="s">
        <v>26</v>
      </c>
      <c r="E297" s="105"/>
      <c r="F297" s="46">
        <f t="shared" ref="F297:N298" si="59">F298</f>
        <v>10344.1</v>
      </c>
      <c r="G297" s="46">
        <f t="shared" si="59"/>
        <v>0</v>
      </c>
      <c r="H297" s="46">
        <f t="shared" si="59"/>
        <v>10344.1</v>
      </c>
      <c r="I297" s="47">
        <f t="shared" si="59"/>
        <v>0</v>
      </c>
      <c r="J297" s="88"/>
      <c r="K297" s="47">
        <f t="shared" si="59"/>
        <v>0</v>
      </c>
      <c r="L297" s="46">
        <f t="shared" si="59"/>
        <v>10344.1</v>
      </c>
      <c r="M297" s="46">
        <f t="shared" si="59"/>
        <v>0</v>
      </c>
      <c r="N297" s="46">
        <f t="shared" si="59"/>
        <v>10344.1</v>
      </c>
      <c r="O297" s="94"/>
      <c r="P297" s="94"/>
    </row>
    <row r="298" spans="1:16" ht="31.5" x14ac:dyDescent="0.2">
      <c r="A298" s="42"/>
      <c r="B298" s="43" t="s">
        <v>39</v>
      </c>
      <c r="C298" s="44" t="s">
        <v>383</v>
      </c>
      <c r="D298" s="45" t="s">
        <v>26</v>
      </c>
      <c r="E298" s="105"/>
      <c r="F298" s="46">
        <f t="shared" si="59"/>
        <v>10344.1</v>
      </c>
      <c r="G298" s="46">
        <f t="shared" si="59"/>
        <v>0</v>
      </c>
      <c r="H298" s="46">
        <f t="shared" si="59"/>
        <v>10344.1</v>
      </c>
      <c r="I298" s="47">
        <f t="shared" si="59"/>
        <v>0</v>
      </c>
      <c r="J298" s="88"/>
      <c r="K298" s="47">
        <f t="shared" si="59"/>
        <v>0</v>
      </c>
      <c r="L298" s="46">
        <f t="shared" si="59"/>
        <v>10344.1</v>
      </c>
      <c r="M298" s="46">
        <f t="shared" si="59"/>
        <v>0</v>
      </c>
      <c r="N298" s="46">
        <f t="shared" si="59"/>
        <v>10344.1</v>
      </c>
      <c r="O298" s="94"/>
      <c r="P298" s="94"/>
    </row>
    <row r="299" spans="1:16" ht="31.5" x14ac:dyDescent="0.2">
      <c r="A299" s="42"/>
      <c r="B299" s="43" t="s">
        <v>74</v>
      </c>
      <c r="C299" s="44" t="s">
        <v>383</v>
      </c>
      <c r="D299" s="45" t="s">
        <v>75</v>
      </c>
      <c r="E299" s="105"/>
      <c r="F299" s="46">
        <v>10344.1</v>
      </c>
      <c r="G299" s="46"/>
      <c r="H299" s="46">
        <v>10344.1</v>
      </c>
      <c r="I299" s="47">
        <v>0</v>
      </c>
      <c r="J299" s="88"/>
      <c r="K299" s="47">
        <v>0</v>
      </c>
      <c r="L299" s="46">
        <v>10344.1</v>
      </c>
      <c r="M299" s="46"/>
      <c r="N299" s="46">
        <v>10344.1</v>
      </c>
      <c r="O299" s="94"/>
      <c r="P299" s="94"/>
    </row>
    <row r="300" spans="1:16" ht="36.6" customHeight="1" x14ac:dyDescent="0.2">
      <c r="A300" s="42"/>
      <c r="B300" s="43" t="s">
        <v>384</v>
      </c>
      <c r="C300" s="44" t="s">
        <v>385</v>
      </c>
      <c r="D300" s="45" t="s">
        <v>26</v>
      </c>
      <c r="E300" s="105"/>
      <c r="F300" s="46">
        <f>F301</f>
        <v>915</v>
      </c>
      <c r="G300" s="46">
        <f>G301</f>
        <v>0</v>
      </c>
      <c r="H300" s="46">
        <f>H301</f>
        <v>915</v>
      </c>
      <c r="I300" s="47">
        <f>I301</f>
        <v>0</v>
      </c>
      <c r="J300" s="88"/>
      <c r="K300" s="47">
        <f>K301</f>
        <v>0</v>
      </c>
      <c r="L300" s="46">
        <f>L301</f>
        <v>915</v>
      </c>
      <c r="M300" s="46">
        <f>M301</f>
        <v>0</v>
      </c>
      <c r="N300" s="46">
        <f>N301</f>
        <v>915</v>
      </c>
      <c r="O300" s="94"/>
      <c r="P300" s="94"/>
    </row>
    <row r="301" spans="1:16" ht="36" customHeight="1" x14ac:dyDescent="0.2">
      <c r="A301" s="42"/>
      <c r="B301" s="43" t="s">
        <v>386</v>
      </c>
      <c r="C301" s="44" t="s">
        <v>387</v>
      </c>
      <c r="D301" s="45" t="s">
        <v>26</v>
      </c>
      <c r="E301" s="105"/>
      <c r="F301" s="46">
        <f>F302+F303</f>
        <v>915</v>
      </c>
      <c r="G301" s="46">
        <f>G302+G303</f>
        <v>0</v>
      </c>
      <c r="H301" s="46">
        <f>H302+H303</f>
        <v>915</v>
      </c>
      <c r="I301" s="47">
        <f>I302+I303</f>
        <v>0</v>
      </c>
      <c r="J301" s="88"/>
      <c r="K301" s="47">
        <f>K302+K303</f>
        <v>0</v>
      </c>
      <c r="L301" s="46">
        <f>L302+L303</f>
        <v>915</v>
      </c>
      <c r="M301" s="46">
        <f>M302+M303</f>
        <v>0</v>
      </c>
      <c r="N301" s="46">
        <f>N302+N303</f>
        <v>915</v>
      </c>
      <c r="O301" s="94"/>
      <c r="P301" s="94"/>
    </row>
    <row r="302" spans="1:16" ht="31.5" x14ac:dyDescent="0.2">
      <c r="A302" s="42"/>
      <c r="B302" s="43" t="s">
        <v>35</v>
      </c>
      <c r="C302" s="44" t="s">
        <v>387</v>
      </c>
      <c r="D302" s="45" t="s">
        <v>36</v>
      </c>
      <c r="E302" s="105"/>
      <c r="F302" s="46">
        <v>900</v>
      </c>
      <c r="G302" s="46"/>
      <c r="H302" s="46">
        <v>900</v>
      </c>
      <c r="I302" s="47">
        <v>0</v>
      </c>
      <c r="J302" s="88"/>
      <c r="K302" s="47">
        <v>0</v>
      </c>
      <c r="L302" s="46">
        <v>900</v>
      </c>
      <c r="M302" s="46"/>
      <c r="N302" s="46">
        <v>900</v>
      </c>
      <c r="O302" s="94"/>
      <c r="P302" s="94"/>
    </row>
    <row r="303" spans="1:16" ht="15.75" x14ac:dyDescent="0.2">
      <c r="A303" s="42"/>
      <c r="B303" s="43" t="s">
        <v>41</v>
      </c>
      <c r="C303" s="44" t="s">
        <v>387</v>
      </c>
      <c r="D303" s="45" t="s">
        <v>42</v>
      </c>
      <c r="E303" s="105"/>
      <c r="F303" s="46">
        <v>15</v>
      </c>
      <c r="G303" s="46"/>
      <c r="H303" s="46">
        <v>15</v>
      </c>
      <c r="I303" s="47">
        <v>0</v>
      </c>
      <c r="J303" s="88"/>
      <c r="K303" s="47">
        <v>0</v>
      </c>
      <c r="L303" s="46">
        <v>15</v>
      </c>
      <c r="M303" s="46"/>
      <c r="N303" s="46">
        <v>15</v>
      </c>
      <c r="O303" s="94"/>
      <c r="P303" s="94"/>
    </row>
    <row r="304" spans="1:16" ht="15.75" x14ac:dyDescent="0.2">
      <c r="A304" s="19" t="s">
        <v>388</v>
      </c>
      <c r="B304" s="20" t="s">
        <v>389</v>
      </c>
      <c r="C304" s="21" t="s">
        <v>390</v>
      </c>
      <c r="D304" s="22" t="s">
        <v>26</v>
      </c>
      <c r="E304" s="104"/>
      <c r="F304" s="23">
        <f t="shared" ref="F304:N306" si="60">F305</f>
        <v>50</v>
      </c>
      <c r="G304" s="23">
        <f t="shared" si="60"/>
        <v>0</v>
      </c>
      <c r="H304" s="23">
        <f t="shared" si="60"/>
        <v>50</v>
      </c>
      <c r="I304" s="24">
        <f t="shared" si="60"/>
        <v>0</v>
      </c>
      <c r="J304" s="23">
        <f>J305</f>
        <v>0</v>
      </c>
      <c r="K304" s="24">
        <f t="shared" si="60"/>
        <v>0</v>
      </c>
      <c r="L304" s="23">
        <f t="shared" si="60"/>
        <v>50</v>
      </c>
      <c r="M304" s="23">
        <f t="shared" si="60"/>
        <v>0</v>
      </c>
      <c r="N304" s="23">
        <f t="shared" si="60"/>
        <v>50</v>
      </c>
      <c r="O304" s="93"/>
      <c r="P304" s="93"/>
    </row>
    <row r="305" spans="1:16" ht="51.6" customHeight="1" x14ac:dyDescent="0.2">
      <c r="A305" s="42"/>
      <c r="B305" s="43" t="s">
        <v>391</v>
      </c>
      <c r="C305" s="44" t="s">
        <v>392</v>
      </c>
      <c r="D305" s="45" t="s">
        <v>26</v>
      </c>
      <c r="E305" s="105"/>
      <c r="F305" s="46">
        <f t="shared" si="60"/>
        <v>50</v>
      </c>
      <c r="G305" s="46">
        <f t="shared" si="60"/>
        <v>0</v>
      </c>
      <c r="H305" s="46">
        <f t="shared" si="60"/>
        <v>50</v>
      </c>
      <c r="I305" s="47">
        <f t="shared" si="60"/>
        <v>0</v>
      </c>
      <c r="J305" s="88"/>
      <c r="K305" s="47">
        <f t="shared" si="60"/>
        <v>0</v>
      </c>
      <c r="L305" s="46">
        <f t="shared" si="60"/>
        <v>50</v>
      </c>
      <c r="M305" s="46">
        <f t="shared" si="60"/>
        <v>0</v>
      </c>
      <c r="N305" s="46">
        <f t="shared" si="60"/>
        <v>50</v>
      </c>
      <c r="O305" s="94"/>
      <c r="P305" s="94"/>
    </row>
    <row r="306" spans="1:16" ht="31.5" x14ac:dyDescent="0.2">
      <c r="A306" s="42"/>
      <c r="B306" s="43" t="s">
        <v>393</v>
      </c>
      <c r="C306" s="44" t="s">
        <v>394</v>
      </c>
      <c r="D306" s="45" t="s">
        <v>26</v>
      </c>
      <c r="E306" s="105"/>
      <c r="F306" s="46">
        <f t="shared" si="60"/>
        <v>50</v>
      </c>
      <c r="G306" s="46">
        <f t="shared" si="60"/>
        <v>0</v>
      </c>
      <c r="H306" s="46">
        <f t="shared" si="60"/>
        <v>50</v>
      </c>
      <c r="I306" s="47">
        <f t="shared" si="60"/>
        <v>0</v>
      </c>
      <c r="J306" s="88"/>
      <c r="K306" s="47">
        <f t="shared" si="60"/>
        <v>0</v>
      </c>
      <c r="L306" s="46">
        <f t="shared" si="60"/>
        <v>50</v>
      </c>
      <c r="M306" s="46">
        <f t="shared" si="60"/>
        <v>0</v>
      </c>
      <c r="N306" s="46">
        <f t="shared" si="60"/>
        <v>50</v>
      </c>
      <c r="O306" s="94"/>
      <c r="P306" s="94"/>
    </row>
    <row r="307" spans="1:16" ht="31.5" x14ac:dyDescent="0.2">
      <c r="A307" s="42"/>
      <c r="B307" s="43" t="s">
        <v>35</v>
      </c>
      <c r="C307" s="44" t="s">
        <v>394</v>
      </c>
      <c r="D307" s="45" t="s">
        <v>36</v>
      </c>
      <c r="E307" s="105"/>
      <c r="F307" s="46">
        <v>50</v>
      </c>
      <c r="G307" s="46"/>
      <c r="H307" s="46">
        <v>50</v>
      </c>
      <c r="I307" s="47">
        <v>0</v>
      </c>
      <c r="J307" s="88"/>
      <c r="K307" s="47">
        <v>0</v>
      </c>
      <c r="L307" s="46">
        <v>50</v>
      </c>
      <c r="M307" s="46"/>
      <c r="N307" s="46">
        <v>50</v>
      </c>
      <c r="O307" s="94"/>
      <c r="P307" s="94"/>
    </row>
    <row r="308" spans="1:16" ht="49.15" customHeight="1" x14ac:dyDescent="0.2">
      <c r="A308" s="19" t="s">
        <v>395</v>
      </c>
      <c r="B308" s="20" t="s">
        <v>396</v>
      </c>
      <c r="C308" s="21" t="s">
        <v>397</v>
      </c>
      <c r="D308" s="22" t="s">
        <v>26</v>
      </c>
      <c r="E308" s="104"/>
      <c r="F308" s="23">
        <f t="shared" ref="F308:N310" si="61">F309</f>
        <v>200</v>
      </c>
      <c r="G308" s="23">
        <f t="shared" si="61"/>
        <v>399.7</v>
      </c>
      <c r="H308" s="23">
        <f t="shared" si="61"/>
        <v>599.70000000000005</v>
      </c>
      <c r="I308" s="24">
        <f t="shared" si="61"/>
        <v>0</v>
      </c>
      <c r="J308" s="23">
        <f>J309</f>
        <v>0</v>
      </c>
      <c r="K308" s="24">
        <f t="shared" si="61"/>
        <v>0</v>
      </c>
      <c r="L308" s="23">
        <f t="shared" si="61"/>
        <v>200</v>
      </c>
      <c r="M308" s="23">
        <f t="shared" si="61"/>
        <v>399.7</v>
      </c>
      <c r="N308" s="23">
        <f t="shared" si="61"/>
        <v>599.70000000000005</v>
      </c>
      <c r="O308" s="93"/>
      <c r="P308" s="93"/>
    </row>
    <row r="309" spans="1:16" ht="30.6" customHeight="1" x14ac:dyDescent="0.2">
      <c r="A309" s="42"/>
      <c r="B309" s="43" t="s">
        <v>398</v>
      </c>
      <c r="C309" s="44" t="s">
        <v>399</v>
      </c>
      <c r="D309" s="45" t="s">
        <v>26</v>
      </c>
      <c r="E309" s="105"/>
      <c r="F309" s="46">
        <f t="shared" si="61"/>
        <v>200</v>
      </c>
      <c r="G309" s="46">
        <f>SUM(G312)</f>
        <v>399.7</v>
      </c>
      <c r="H309" s="46">
        <f>H310+H312</f>
        <v>599.70000000000005</v>
      </c>
      <c r="I309" s="47">
        <f t="shared" si="61"/>
        <v>0</v>
      </c>
      <c r="J309" s="88"/>
      <c r="K309" s="47">
        <f t="shared" si="61"/>
        <v>0</v>
      </c>
      <c r="L309" s="46">
        <f t="shared" si="61"/>
        <v>200</v>
      </c>
      <c r="M309" s="46">
        <f>SUM(M312)</f>
        <v>399.7</v>
      </c>
      <c r="N309" s="46">
        <f>N310+N312</f>
        <v>599.70000000000005</v>
      </c>
      <c r="O309" s="94"/>
      <c r="P309" s="94"/>
    </row>
    <row r="310" spans="1:16" ht="49.15" customHeight="1" x14ac:dyDescent="0.2">
      <c r="A310" s="42"/>
      <c r="B310" s="43" t="s">
        <v>400</v>
      </c>
      <c r="C310" s="44" t="s">
        <v>401</v>
      </c>
      <c r="D310" s="45" t="s">
        <v>26</v>
      </c>
      <c r="E310" s="105"/>
      <c r="F310" s="46">
        <f t="shared" si="61"/>
        <v>200</v>
      </c>
      <c r="G310" s="46">
        <f t="shared" si="61"/>
        <v>0</v>
      </c>
      <c r="H310" s="46">
        <f t="shared" si="61"/>
        <v>200</v>
      </c>
      <c r="I310" s="47">
        <f t="shared" si="61"/>
        <v>0</v>
      </c>
      <c r="J310" s="88"/>
      <c r="K310" s="47">
        <f t="shared" si="61"/>
        <v>0</v>
      </c>
      <c r="L310" s="46">
        <f t="shared" si="61"/>
        <v>200</v>
      </c>
      <c r="M310" s="46">
        <f t="shared" si="61"/>
        <v>0</v>
      </c>
      <c r="N310" s="46">
        <f t="shared" si="61"/>
        <v>200</v>
      </c>
      <c r="O310" s="94"/>
      <c r="P310" s="94"/>
    </row>
    <row r="311" spans="1:16" ht="31.5" x14ac:dyDescent="0.2">
      <c r="A311" s="57"/>
      <c r="B311" s="58" t="s">
        <v>35</v>
      </c>
      <c r="C311" s="59" t="s">
        <v>401</v>
      </c>
      <c r="D311" s="60" t="s">
        <v>36</v>
      </c>
      <c r="E311" s="108"/>
      <c r="F311" s="61">
        <v>200</v>
      </c>
      <c r="G311" s="61"/>
      <c r="H311" s="61">
        <f>200+G311</f>
        <v>200</v>
      </c>
      <c r="I311" s="62">
        <v>0</v>
      </c>
      <c r="J311" s="115"/>
      <c r="K311" s="62">
        <v>0</v>
      </c>
      <c r="L311" s="61">
        <v>200</v>
      </c>
      <c r="M311" s="61">
        <f>SUM(G311)</f>
        <v>0</v>
      </c>
      <c r="N311" s="61">
        <f>200+M311</f>
        <v>200</v>
      </c>
      <c r="O311" s="94"/>
      <c r="P311" s="94"/>
    </row>
    <row r="312" spans="1:16" ht="31.5" x14ac:dyDescent="0.2">
      <c r="A312" s="133"/>
      <c r="B312" s="122" t="s">
        <v>402</v>
      </c>
      <c r="C312" s="44" t="s">
        <v>403</v>
      </c>
      <c r="D312" s="124"/>
      <c r="E312" s="124"/>
      <c r="F312" s="134"/>
      <c r="G312" s="134">
        <v>399.7</v>
      </c>
      <c r="H312" s="134">
        <f>SUM(G312)</f>
        <v>399.7</v>
      </c>
      <c r="I312" s="135"/>
      <c r="J312" s="135"/>
      <c r="K312" s="135"/>
      <c r="L312" s="134"/>
      <c r="M312" s="134">
        <f>SUM(G312)</f>
        <v>399.7</v>
      </c>
      <c r="N312" s="134">
        <f>SUM(H312)</f>
        <v>399.7</v>
      </c>
      <c r="O312" s="94"/>
      <c r="P312" s="94"/>
    </row>
    <row r="313" spans="1:16" ht="32.25" thickBot="1" x14ac:dyDescent="0.25">
      <c r="A313" s="133"/>
      <c r="B313" s="58" t="s">
        <v>35</v>
      </c>
      <c r="C313" s="44" t="s">
        <v>403</v>
      </c>
      <c r="D313" s="124" t="s">
        <v>36</v>
      </c>
      <c r="E313" s="124"/>
      <c r="F313" s="134"/>
      <c r="G313" s="134">
        <v>399.7</v>
      </c>
      <c r="H313" s="134">
        <f>SUM(G313)</f>
        <v>399.7</v>
      </c>
      <c r="I313" s="135"/>
      <c r="J313" s="135"/>
      <c r="K313" s="135"/>
      <c r="L313" s="134"/>
      <c r="M313" s="134">
        <f>SUM(G313)</f>
        <v>399.7</v>
      </c>
      <c r="N313" s="134">
        <f>SUM(H313)</f>
        <v>399.7</v>
      </c>
      <c r="O313" s="94"/>
      <c r="P313" s="94"/>
    </row>
    <row r="314" spans="1:16" ht="16.5" customHeight="1" thickBot="1" x14ac:dyDescent="0.25">
      <c r="A314" s="26" t="s">
        <v>404</v>
      </c>
      <c r="B314" s="461" t="s">
        <v>405</v>
      </c>
      <c r="C314" s="462"/>
      <c r="D314" s="463"/>
      <c r="E314" s="83"/>
      <c r="F314" s="27">
        <f t="shared" ref="F314:L314" si="62">F315+F319+F325+F341</f>
        <v>35031.4</v>
      </c>
      <c r="G314" s="27">
        <f>G315+G319+G325+G341+G345</f>
        <v>2884.4</v>
      </c>
      <c r="H314" s="27">
        <f>H315+H319+H325+H341+H345</f>
        <v>37915.800000000003</v>
      </c>
      <c r="I314" s="28">
        <f t="shared" si="62"/>
        <v>768.1</v>
      </c>
      <c r="J314" s="27">
        <f t="shared" si="62"/>
        <v>0</v>
      </c>
      <c r="K314" s="28">
        <f t="shared" si="62"/>
        <v>768.1</v>
      </c>
      <c r="L314" s="27">
        <f t="shared" si="62"/>
        <v>35799.5</v>
      </c>
      <c r="M314" s="27">
        <f>M315+M319+M325+M341+M345</f>
        <v>2884.4</v>
      </c>
      <c r="N314" s="27">
        <f>N315+N319+N325+N341+N345</f>
        <v>38683.9</v>
      </c>
      <c r="O314" s="93"/>
      <c r="P314" s="93"/>
    </row>
    <row r="315" spans="1:16" ht="31.5" x14ac:dyDescent="0.2">
      <c r="A315" s="16" t="s">
        <v>406</v>
      </c>
      <c r="B315" s="29" t="s">
        <v>407</v>
      </c>
      <c r="C315" s="30" t="s">
        <v>408</v>
      </c>
      <c r="D315" s="31" t="s">
        <v>26</v>
      </c>
      <c r="E315" s="109"/>
      <c r="F315" s="32">
        <f t="shared" ref="F315:N317" si="63">F316</f>
        <v>2021.3</v>
      </c>
      <c r="G315" s="32">
        <f t="shared" si="63"/>
        <v>0</v>
      </c>
      <c r="H315" s="32">
        <f t="shared" si="63"/>
        <v>2021.3</v>
      </c>
      <c r="I315" s="33">
        <f t="shared" si="63"/>
        <v>0</v>
      </c>
      <c r="J315" s="32">
        <f>J316</f>
        <v>0</v>
      </c>
      <c r="K315" s="33">
        <f t="shared" si="63"/>
        <v>0</v>
      </c>
      <c r="L315" s="32">
        <f t="shared" si="63"/>
        <v>2021.3</v>
      </c>
      <c r="M315" s="32">
        <f t="shared" si="63"/>
        <v>0</v>
      </c>
      <c r="N315" s="32">
        <f t="shared" si="63"/>
        <v>2021.3</v>
      </c>
      <c r="O315" s="98"/>
      <c r="P315" s="98"/>
    </row>
    <row r="316" spans="1:16" ht="22.15" customHeight="1" x14ac:dyDescent="0.2">
      <c r="A316" s="49"/>
      <c r="B316" s="50" t="s">
        <v>409</v>
      </c>
      <c r="C316" s="51" t="s">
        <v>410</v>
      </c>
      <c r="D316" s="52" t="s">
        <v>26</v>
      </c>
      <c r="E316" s="106"/>
      <c r="F316" s="63">
        <f t="shared" si="63"/>
        <v>2021.3</v>
      </c>
      <c r="G316" s="63">
        <f t="shared" si="63"/>
        <v>0</v>
      </c>
      <c r="H316" s="63">
        <f t="shared" si="63"/>
        <v>2021.3</v>
      </c>
      <c r="I316" s="64">
        <f t="shared" si="63"/>
        <v>0</v>
      </c>
      <c r="J316" s="63">
        <f>J317</f>
        <v>0</v>
      </c>
      <c r="K316" s="64">
        <f t="shared" si="63"/>
        <v>0</v>
      </c>
      <c r="L316" s="63">
        <f t="shared" si="63"/>
        <v>2021.3</v>
      </c>
      <c r="M316" s="63">
        <f t="shared" si="63"/>
        <v>0</v>
      </c>
      <c r="N316" s="63">
        <f t="shared" si="63"/>
        <v>2021.3</v>
      </c>
      <c r="O316" s="99"/>
      <c r="P316" s="99"/>
    </row>
    <row r="317" spans="1:16" ht="31.5" x14ac:dyDescent="0.2">
      <c r="A317" s="42"/>
      <c r="B317" s="43" t="s">
        <v>93</v>
      </c>
      <c r="C317" s="44" t="s">
        <v>411</v>
      </c>
      <c r="D317" s="45" t="s">
        <v>26</v>
      </c>
      <c r="E317" s="105"/>
      <c r="F317" s="65">
        <f t="shared" si="63"/>
        <v>2021.3</v>
      </c>
      <c r="G317" s="65">
        <f t="shared" si="63"/>
        <v>0</v>
      </c>
      <c r="H317" s="65">
        <f t="shared" si="63"/>
        <v>2021.3</v>
      </c>
      <c r="I317" s="66">
        <f t="shared" si="63"/>
        <v>0</v>
      </c>
      <c r="J317" s="89"/>
      <c r="K317" s="66">
        <f t="shared" si="63"/>
        <v>0</v>
      </c>
      <c r="L317" s="65">
        <f t="shared" si="63"/>
        <v>2021.3</v>
      </c>
      <c r="M317" s="65">
        <f t="shared" si="63"/>
        <v>0</v>
      </c>
      <c r="N317" s="65">
        <f t="shared" si="63"/>
        <v>2021.3</v>
      </c>
      <c r="O317" s="100"/>
      <c r="P317" s="100"/>
    </row>
    <row r="318" spans="1:16" ht="69" customHeight="1" x14ac:dyDescent="0.2">
      <c r="A318" s="42"/>
      <c r="B318" s="43" t="s">
        <v>31</v>
      </c>
      <c r="C318" s="44" t="s">
        <v>411</v>
      </c>
      <c r="D318" s="45" t="s">
        <v>32</v>
      </c>
      <c r="E318" s="105"/>
      <c r="F318" s="65">
        <v>2021.3</v>
      </c>
      <c r="G318" s="65"/>
      <c r="H318" s="65">
        <v>2021.3</v>
      </c>
      <c r="I318" s="66">
        <v>0</v>
      </c>
      <c r="J318" s="89"/>
      <c r="K318" s="66">
        <v>0</v>
      </c>
      <c r="L318" s="65">
        <v>2021.3</v>
      </c>
      <c r="M318" s="65"/>
      <c r="N318" s="65">
        <v>2021.3</v>
      </c>
      <c r="O318" s="100"/>
      <c r="P318" s="100"/>
    </row>
    <row r="319" spans="1:16" ht="31.5" x14ac:dyDescent="0.2">
      <c r="A319" s="19" t="s">
        <v>412</v>
      </c>
      <c r="B319" s="20" t="s">
        <v>413</v>
      </c>
      <c r="C319" s="21" t="s">
        <v>414</v>
      </c>
      <c r="D319" s="22" t="s">
        <v>26</v>
      </c>
      <c r="E319" s="104"/>
      <c r="F319" s="34">
        <f t="shared" ref="F319:N319" si="64">F320</f>
        <v>1395.6</v>
      </c>
      <c r="G319" s="34">
        <f t="shared" si="64"/>
        <v>0</v>
      </c>
      <c r="H319" s="34">
        <f t="shared" si="64"/>
        <v>1395.6</v>
      </c>
      <c r="I319" s="35">
        <f t="shared" si="64"/>
        <v>0</v>
      </c>
      <c r="J319" s="34">
        <f t="shared" si="64"/>
        <v>0</v>
      </c>
      <c r="K319" s="35">
        <f t="shared" si="64"/>
        <v>0</v>
      </c>
      <c r="L319" s="34">
        <f t="shared" si="64"/>
        <v>1395.6</v>
      </c>
      <c r="M319" s="34">
        <f t="shared" si="64"/>
        <v>0</v>
      </c>
      <c r="N319" s="34">
        <f t="shared" si="64"/>
        <v>1395.6</v>
      </c>
      <c r="O319" s="98"/>
      <c r="P319" s="98"/>
    </row>
    <row r="320" spans="1:16" ht="31.5" x14ac:dyDescent="0.2">
      <c r="A320" s="49"/>
      <c r="B320" s="50" t="s">
        <v>415</v>
      </c>
      <c r="C320" s="51" t="s">
        <v>416</v>
      </c>
      <c r="D320" s="52" t="s">
        <v>26</v>
      </c>
      <c r="E320" s="106"/>
      <c r="F320" s="63">
        <f t="shared" ref="F320:N320" si="65">F321+F323</f>
        <v>1395.6</v>
      </c>
      <c r="G320" s="63">
        <f t="shared" si="65"/>
        <v>0</v>
      </c>
      <c r="H320" s="63">
        <f t="shared" si="65"/>
        <v>1395.6</v>
      </c>
      <c r="I320" s="64">
        <f t="shared" si="65"/>
        <v>0</v>
      </c>
      <c r="J320" s="63">
        <f t="shared" si="65"/>
        <v>0</v>
      </c>
      <c r="K320" s="64">
        <f t="shared" si="65"/>
        <v>0</v>
      </c>
      <c r="L320" s="63">
        <f t="shared" si="65"/>
        <v>1395.6</v>
      </c>
      <c r="M320" s="63">
        <f t="shared" si="65"/>
        <v>0</v>
      </c>
      <c r="N320" s="63">
        <f t="shared" si="65"/>
        <v>1395.6</v>
      </c>
      <c r="O320" s="99"/>
      <c r="P320" s="99"/>
    </row>
    <row r="321" spans="1:16" ht="31.5" x14ac:dyDescent="0.2">
      <c r="A321" s="42"/>
      <c r="B321" s="43" t="s">
        <v>93</v>
      </c>
      <c r="C321" s="44" t="s">
        <v>417</v>
      </c>
      <c r="D321" s="45" t="s">
        <v>26</v>
      </c>
      <c r="E321" s="105"/>
      <c r="F321" s="65">
        <f>F322</f>
        <v>8.1</v>
      </c>
      <c r="G321" s="65">
        <f>G322</f>
        <v>0</v>
      </c>
      <c r="H321" s="65">
        <f>H322</f>
        <v>8.1</v>
      </c>
      <c r="I321" s="66">
        <f>I322</f>
        <v>0</v>
      </c>
      <c r="J321" s="89"/>
      <c r="K321" s="66">
        <f>K322</f>
        <v>0</v>
      </c>
      <c r="L321" s="65">
        <f>L322</f>
        <v>8.1</v>
      </c>
      <c r="M321" s="65">
        <f>M322</f>
        <v>0</v>
      </c>
      <c r="N321" s="65">
        <f>N322</f>
        <v>8.1</v>
      </c>
      <c r="O321" s="100"/>
      <c r="P321" s="100"/>
    </row>
    <row r="322" spans="1:16" ht="31.5" x14ac:dyDescent="0.2">
      <c r="A322" s="42"/>
      <c r="B322" s="43" t="s">
        <v>35</v>
      </c>
      <c r="C322" s="44" t="s">
        <v>417</v>
      </c>
      <c r="D322" s="45" t="s">
        <v>36</v>
      </c>
      <c r="E322" s="105"/>
      <c r="F322" s="79">
        <f>8+0.1</f>
        <v>8.1</v>
      </c>
      <c r="G322" s="79"/>
      <c r="H322" s="79">
        <f>8+0.1</f>
        <v>8.1</v>
      </c>
      <c r="I322" s="66">
        <v>0</v>
      </c>
      <c r="J322" s="117"/>
      <c r="K322" s="66">
        <v>0</v>
      </c>
      <c r="L322" s="79">
        <f>8+0.1</f>
        <v>8.1</v>
      </c>
      <c r="M322" s="79"/>
      <c r="N322" s="79">
        <f>8+0.1</f>
        <v>8.1</v>
      </c>
      <c r="O322" s="100"/>
      <c r="P322" s="100"/>
    </row>
    <row r="323" spans="1:16" ht="50.45" customHeight="1" x14ac:dyDescent="0.2">
      <c r="A323" s="42"/>
      <c r="B323" s="43" t="s">
        <v>418</v>
      </c>
      <c r="C323" s="44" t="s">
        <v>419</v>
      </c>
      <c r="D323" s="45" t="s">
        <v>26</v>
      </c>
      <c r="E323" s="105"/>
      <c r="F323" s="65">
        <f>F324</f>
        <v>1387.5</v>
      </c>
      <c r="G323" s="65">
        <f>G324</f>
        <v>0</v>
      </c>
      <c r="H323" s="65">
        <f>H324</f>
        <v>1387.5</v>
      </c>
      <c r="I323" s="66">
        <f>I324</f>
        <v>0</v>
      </c>
      <c r="J323" s="89"/>
      <c r="K323" s="66">
        <f>K324</f>
        <v>0</v>
      </c>
      <c r="L323" s="65">
        <f>L324</f>
        <v>1387.5</v>
      </c>
      <c r="M323" s="65">
        <f>M324</f>
        <v>0</v>
      </c>
      <c r="N323" s="65">
        <f>N324</f>
        <v>1387.5</v>
      </c>
      <c r="O323" s="100"/>
      <c r="P323" s="100"/>
    </row>
    <row r="324" spans="1:16" ht="15.75" x14ac:dyDescent="0.2">
      <c r="A324" s="42"/>
      <c r="B324" s="43" t="s">
        <v>278</v>
      </c>
      <c r="C324" s="44" t="s">
        <v>419</v>
      </c>
      <c r="D324" s="45" t="s">
        <v>279</v>
      </c>
      <c r="E324" s="105"/>
      <c r="F324" s="79">
        <f>1387.6-0.1</f>
        <v>1387.5</v>
      </c>
      <c r="G324" s="79"/>
      <c r="H324" s="79">
        <f>1387.6-0.1</f>
        <v>1387.5</v>
      </c>
      <c r="I324" s="66">
        <v>0</v>
      </c>
      <c r="J324" s="117"/>
      <c r="K324" s="66">
        <v>0</v>
      </c>
      <c r="L324" s="79">
        <f>1387.6-0.1</f>
        <v>1387.5</v>
      </c>
      <c r="M324" s="79"/>
      <c r="N324" s="79">
        <f>1387.6-0.1</f>
        <v>1387.5</v>
      </c>
      <c r="O324" s="100"/>
      <c r="P324" s="100"/>
    </row>
    <row r="325" spans="1:16" ht="31.5" x14ac:dyDescent="0.2">
      <c r="A325" s="19" t="s">
        <v>420</v>
      </c>
      <c r="B325" s="20" t="s">
        <v>421</v>
      </c>
      <c r="C325" s="21" t="s">
        <v>422</v>
      </c>
      <c r="D325" s="22" t="s">
        <v>26</v>
      </c>
      <c r="E325" s="104"/>
      <c r="F325" s="34">
        <f t="shared" ref="F325:N325" si="66">F326+F331+F337</f>
        <v>31614.5</v>
      </c>
      <c r="G325" s="34">
        <f t="shared" si="66"/>
        <v>2838.5</v>
      </c>
      <c r="H325" s="34">
        <f t="shared" si="66"/>
        <v>34453</v>
      </c>
      <c r="I325" s="35">
        <f t="shared" si="66"/>
        <v>768.1</v>
      </c>
      <c r="J325" s="34">
        <f t="shared" si="66"/>
        <v>0</v>
      </c>
      <c r="K325" s="35">
        <f t="shared" si="66"/>
        <v>768.1</v>
      </c>
      <c r="L325" s="34">
        <f t="shared" si="66"/>
        <v>32382.6</v>
      </c>
      <c r="M325" s="34">
        <f t="shared" si="66"/>
        <v>2838.5</v>
      </c>
      <c r="N325" s="34">
        <f t="shared" si="66"/>
        <v>35221.1</v>
      </c>
      <c r="O325" s="98"/>
      <c r="P325" s="98"/>
    </row>
    <row r="326" spans="1:16" ht="31.5" x14ac:dyDescent="0.2">
      <c r="A326" s="49"/>
      <c r="B326" s="50" t="s">
        <v>423</v>
      </c>
      <c r="C326" s="51" t="s">
        <v>424</v>
      </c>
      <c r="D326" s="52" t="s">
        <v>26</v>
      </c>
      <c r="E326" s="106"/>
      <c r="F326" s="63">
        <f t="shared" ref="F326:N326" si="67">F327</f>
        <v>30614.5</v>
      </c>
      <c r="G326" s="63">
        <f t="shared" si="67"/>
        <v>0</v>
      </c>
      <c r="H326" s="63">
        <f t="shared" si="67"/>
        <v>30614.5</v>
      </c>
      <c r="I326" s="64">
        <f t="shared" si="67"/>
        <v>0</v>
      </c>
      <c r="J326" s="63">
        <f t="shared" si="67"/>
        <v>0</v>
      </c>
      <c r="K326" s="64">
        <f t="shared" si="67"/>
        <v>0</v>
      </c>
      <c r="L326" s="63">
        <f t="shared" si="67"/>
        <v>30614.5</v>
      </c>
      <c r="M326" s="63">
        <f t="shared" si="67"/>
        <v>0</v>
      </c>
      <c r="N326" s="63">
        <f t="shared" si="67"/>
        <v>30614.5</v>
      </c>
      <c r="O326" s="99"/>
      <c r="P326" s="99"/>
    </row>
    <row r="327" spans="1:16" ht="31.5" x14ac:dyDescent="0.2">
      <c r="A327" s="42"/>
      <c r="B327" s="43" t="s">
        <v>93</v>
      </c>
      <c r="C327" s="44" t="s">
        <v>425</v>
      </c>
      <c r="D327" s="45" t="s">
        <v>26</v>
      </c>
      <c r="E327" s="105"/>
      <c r="F327" s="65">
        <f>F328+F329+F330</f>
        <v>30614.5</v>
      </c>
      <c r="G327" s="65">
        <f>G328+G329+G330</f>
        <v>0</v>
      </c>
      <c r="H327" s="65">
        <f>H328+H329+H330</f>
        <v>30614.5</v>
      </c>
      <c r="I327" s="66">
        <f>I328+I329+I330</f>
        <v>0</v>
      </c>
      <c r="J327" s="89"/>
      <c r="K327" s="66">
        <f>K328+K329+K330</f>
        <v>0</v>
      </c>
      <c r="L327" s="65">
        <f>L328+L329+L330</f>
        <v>30614.5</v>
      </c>
      <c r="M327" s="65">
        <f>M328+M329+M330</f>
        <v>0</v>
      </c>
      <c r="N327" s="65">
        <f>N328+N329+N330</f>
        <v>30614.5</v>
      </c>
      <c r="O327" s="100"/>
      <c r="P327" s="100"/>
    </row>
    <row r="328" spans="1:16" ht="70.150000000000006" customHeight="1" x14ac:dyDescent="0.2">
      <c r="A328" s="42"/>
      <c r="B328" s="43" t="s">
        <v>31</v>
      </c>
      <c r="C328" s="44" t="s">
        <v>425</v>
      </c>
      <c r="D328" s="45" t="s">
        <v>32</v>
      </c>
      <c r="E328" s="105"/>
      <c r="F328" s="65">
        <v>30283.1</v>
      </c>
      <c r="G328" s="65"/>
      <c r="H328" s="65">
        <v>30283.1</v>
      </c>
      <c r="I328" s="66">
        <v>0</v>
      </c>
      <c r="J328" s="89"/>
      <c r="K328" s="66">
        <v>0</v>
      </c>
      <c r="L328" s="65">
        <v>30283.1</v>
      </c>
      <c r="M328" s="65"/>
      <c r="N328" s="65">
        <v>30283.1</v>
      </c>
      <c r="O328" s="100"/>
      <c r="P328" s="100"/>
    </row>
    <row r="329" spans="1:16" ht="31.5" x14ac:dyDescent="0.2">
      <c r="A329" s="42"/>
      <c r="B329" s="43" t="s">
        <v>35</v>
      </c>
      <c r="C329" s="44" t="s">
        <v>425</v>
      </c>
      <c r="D329" s="45" t="s">
        <v>36</v>
      </c>
      <c r="E329" s="105"/>
      <c r="F329" s="65">
        <v>291.39999999999998</v>
      </c>
      <c r="G329" s="65"/>
      <c r="H329" s="65">
        <v>291.39999999999998</v>
      </c>
      <c r="I329" s="66">
        <v>0</v>
      </c>
      <c r="J329" s="89"/>
      <c r="K329" s="66">
        <v>0</v>
      </c>
      <c r="L329" s="65">
        <v>291.39999999999998</v>
      </c>
      <c r="M329" s="65"/>
      <c r="N329" s="65">
        <v>291.39999999999998</v>
      </c>
      <c r="O329" s="100"/>
      <c r="P329" s="100"/>
    </row>
    <row r="330" spans="1:16" ht="15.75" x14ac:dyDescent="0.2">
      <c r="A330" s="42"/>
      <c r="B330" s="43" t="s">
        <v>41</v>
      </c>
      <c r="C330" s="44" t="s">
        <v>425</v>
      </c>
      <c r="D330" s="45" t="s">
        <v>42</v>
      </c>
      <c r="E330" s="105"/>
      <c r="F330" s="65">
        <v>40</v>
      </c>
      <c r="G330" s="65"/>
      <c r="H330" s="65">
        <v>40</v>
      </c>
      <c r="I330" s="66">
        <v>0</v>
      </c>
      <c r="J330" s="89"/>
      <c r="K330" s="66">
        <v>0</v>
      </c>
      <c r="L330" s="65">
        <v>40</v>
      </c>
      <c r="M330" s="65"/>
      <c r="N330" s="65">
        <v>40</v>
      </c>
      <c r="O330" s="100"/>
      <c r="P330" s="100"/>
    </row>
    <row r="331" spans="1:16" ht="21.6" customHeight="1" x14ac:dyDescent="0.2">
      <c r="A331" s="49"/>
      <c r="B331" s="43" t="s">
        <v>426</v>
      </c>
      <c r="C331" s="44" t="s">
        <v>427</v>
      </c>
      <c r="D331" s="45" t="s">
        <v>26</v>
      </c>
      <c r="E331" s="105"/>
      <c r="F331" s="65">
        <f>F335</f>
        <v>0</v>
      </c>
      <c r="G331" s="65">
        <f>G335</f>
        <v>0</v>
      </c>
      <c r="H331" s="65">
        <f>H335</f>
        <v>0</v>
      </c>
      <c r="I331" s="66">
        <f>I335+I332</f>
        <v>768.1</v>
      </c>
      <c r="J331" s="89"/>
      <c r="K331" s="66">
        <f>K335+K332</f>
        <v>768.1</v>
      </c>
      <c r="L331" s="66">
        <f>L335+L332</f>
        <v>768.1</v>
      </c>
      <c r="M331" s="65">
        <f>M335</f>
        <v>0</v>
      </c>
      <c r="N331" s="66">
        <f>N335+N332</f>
        <v>768.1</v>
      </c>
      <c r="O331" s="100"/>
      <c r="P331" s="100"/>
    </row>
    <row r="332" spans="1:16" ht="125.45" customHeight="1" x14ac:dyDescent="0.2">
      <c r="A332" s="49"/>
      <c r="B332" s="127" t="s">
        <v>428</v>
      </c>
      <c r="C332" s="44" t="s">
        <v>429</v>
      </c>
      <c r="D332" s="45"/>
      <c r="E332" s="105"/>
      <c r="F332" s="65"/>
      <c r="G332" s="65"/>
      <c r="H332" s="65"/>
      <c r="I332" s="66">
        <f>SUM(I333+I334)</f>
        <v>755.7</v>
      </c>
      <c r="J332" s="89"/>
      <c r="K332" s="66">
        <f>SUM(K333+K334)</f>
        <v>755.7</v>
      </c>
      <c r="L332" s="66">
        <f>SUM(L333+L334)</f>
        <v>755.7</v>
      </c>
      <c r="M332" s="65"/>
      <c r="N332" s="66">
        <f>SUM(N333+N334)</f>
        <v>755.7</v>
      </c>
      <c r="O332" s="100"/>
      <c r="P332" s="100"/>
    </row>
    <row r="333" spans="1:16" ht="66" customHeight="1" x14ac:dyDescent="0.2">
      <c r="A333" s="49"/>
      <c r="B333" s="43" t="s">
        <v>31</v>
      </c>
      <c r="C333" s="44" t="s">
        <v>429</v>
      </c>
      <c r="D333" s="45" t="s">
        <v>32</v>
      </c>
      <c r="E333" s="105"/>
      <c r="F333" s="65"/>
      <c r="G333" s="65"/>
      <c r="H333" s="65"/>
      <c r="I333" s="66">
        <v>674.7</v>
      </c>
      <c r="J333" s="89"/>
      <c r="K333" s="66">
        <v>674.7</v>
      </c>
      <c r="L333" s="66">
        <v>674.7</v>
      </c>
      <c r="M333" s="65"/>
      <c r="N333" s="66">
        <v>674.7</v>
      </c>
      <c r="O333" s="100"/>
      <c r="P333" s="100"/>
    </row>
    <row r="334" spans="1:16" ht="23.45" customHeight="1" x14ac:dyDescent="0.2">
      <c r="A334" s="49"/>
      <c r="B334" s="43" t="s">
        <v>35</v>
      </c>
      <c r="C334" s="44" t="s">
        <v>429</v>
      </c>
      <c r="D334" s="45" t="s">
        <v>36</v>
      </c>
      <c r="E334" s="105"/>
      <c r="F334" s="65"/>
      <c r="G334" s="65"/>
      <c r="H334" s="65"/>
      <c r="I334" s="66">
        <v>81</v>
      </c>
      <c r="J334" s="89"/>
      <c r="K334" s="66">
        <v>81</v>
      </c>
      <c r="L334" s="66">
        <v>81</v>
      </c>
      <c r="M334" s="65"/>
      <c r="N334" s="66">
        <v>81</v>
      </c>
      <c r="O334" s="100"/>
      <c r="P334" s="100"/>
    </row>
    <row r="335" spans="1:16" ht="47.25" x14ac:dyDescent="0.2">
      <c r="A335" s="42"/>
      <c r="B335" s="43" t="s">
        <v>430</v>
      </c>
      <c r="C335" s="44" t="s">
        <v>431</v>
      </c>
      <c r="D335" s="45" t="s">
        <v>26</v>
      </c>
      <c r="E335" s="105"/>
      <c r="F335" s="65">
        <f t="shared" ref="F335:N335" si="68">F336</f>
        <v>0</v>
      </c>
      <c r="G335" s="65">
        <f t="shared" si="68"/>
        <v>0</v>
      </c>
      <c r="H335" s="65">
        <f t="shared" si="68"/>
        <v>0</v>
      </c>
      <c r="I335" s="66">
        <f t="shared" si="68"/>
        <v>12.4</v>
      </c>
      <c r="J335" s="89"/>
      <c r="K335" s="66">
        <f t="shared" si="68"/>
        <v>12.4</v>
      </c>
      <c r="L335" s="65">
        <f t="shared" si="68"/>
        <v>12.4</v>
      </c>
      <c r="M335" s="65">
        <f t="shared" si="68"/>
        <v>0</v>
      </c>
      <c r="N335" s="65">
        <f t="shared" si="68"/>
        <v>12.4</v>
      </c>
      <c r="O335" s="100"/>
      <c r="P335" s="100"/>
    </row>
    <row r="336" spans="1:16" ht="31.5" x14ac:dyDescent="0.2">
      <c r="A336" s="42"/>
      <c r="B336" s="43" t="s">
        <v>35</v>
      </c>
      <c r="C336" s="44" t="s">
        <v>431</v>
      </c>
      <c r="D336" s="45" t="s">
        <v>36</v>
      </c>
      <c r="E336" s="105"/>
      <c r="F336" s="65">
        <v>0</v>
      </c>
      <c r="G336" s="65">
        <v>0</v>
      </c>
      <c r="H336" s="65">
        <v>0</v>
      </c>
      <c r="I336" s="66">
        <v>12.4</v>
      </c>
      <c r="J336" s="89"/>
      <c r="K336" s="66">
        <v>12.4</v>
      </c>
      <c r="L336" s="65">
        <v>12.4</v>
      </c>
      <c r="M336" s="65">
        <v>0</v>
      </c>
      <c r="N336" s="65">
        <v>12.4</v>
      </c>
      <c r="O336" s="100"/>
      <c r="P336" s="100"/>
    </row>
    <row r="337" spans="1:16" ht="15.75" x14ac:dyDescent="0.2">
      <c r="A337" s="49"/>
      <c r="B337" s="50" t="s">
        <v>432</v>
      </c>
      <c r="C337" s="51" t="s">
        <v>433</v>
      </c>
      <c r="D337" s="52" t="s">
        <v>26</v>
      </c>
      <c r="E337" s="106"/>
      <c r="F337" s="63">
        <f t="shared" ref="F337:N337" si="69">F338</f>
        <v>1000</v>
      </c>
      <c r="G337" s="63">
        <f t="shared" si="69"/>
        <v>2838.5</v>
      </c>
      <c r="H337" s="63">
        <f t="shared" si="69"/>
        <v>3838.5</v>
      </c>
      <c r="I337" s="64">
        <f t="shared" si="69"/>
        <v>0</v>
      </c>
      <c r="J337" s="63">
        <f t="shared" si="69"/>
        <v>0</v>
      </c>
      <c r="K337" s="64">
        <f t="shared" si="69"/>
        <v>0</v>
      </c>
      <c r="L337" s="63">
        <f t="shared" si="69"/>
        <v>1000</v>
      </c>
      <c r="M337" s="63">
        <f t="shared" si="69"/>
        <v>2838.5</v>
      </c>
      <c r="N337" s="63">
        <f t="shared" si="69"/>
        <v>3838.5</v>
      </c>
      <c r="O337" s="99"/>
      <c r="P337" s="99"/>
    </row>
    <row r="338" spans="1:16" ht="31.5" x14ac:dyDescent="0.2">
      <c r="A338" s="42"/>
      <c r="B338" s="43" t="s">
        <v>434</v>
      </c>
      <c r="C338" s="44" t="s">
        <v>435</v>
      </c>
      <c r="D338" s="45" t="s">
        <v>26</v>
      </c>
      <c r="E338" s="105"/>
      <c r="F338" s="65">
        <f>F340</f>
        <v>1000</v>
      </c>
      <c r="G338" s="65">
        <f>SUM(G340)+G339</f>
        <v>2838.5</v>
      </c>
      <c r="H338" s="65">
        <f>H340+H339</f>
        <v>3838.5</v>
      </c>
      <c r="I338" s="66">
        <f>I340</f>
        <v>0</v>
      </c>
      <c r="J338" s="89"/>
      <c r="K338" s="66">
        <f>K340</f>
        <v>0</v>
      </c>
      <c r="L338" s="65">
        <f>L340</f>
        <v>1000</v>
      </c>
      <c r="M338" s="65">
        <f>SUM(M340)+M339</f>
        <v>2838.5</v>
      </c>
      <c r="N338" s="65">
        <f>N340+M338</f>
        <v>3838.5</v>
      </c>
      <c r="O338" s="100"/>
      <c r="P338" s="100"/>
    </row>
    <row r="339" spans="1:16" ht="31.5" x14ac:dyDescent="0.2">
      <c r="A339" s="42"/>
      <c r="B339" s="43" t="s">
        <v>35</v>
      </c>
      <c r="C339" s="44" t="s">
        <v>435</v>
      </c>
      <c r="D339" s="45" t="s">
        <v>36</v>
      </c>
      <c r="E339" s="105"/>
      <c r="F339" s="65"/>
      <c r="G339" s="65">
        <v>2838.5</v>
      </c>
      <c r="H339" s="65">
        <f>SUM(G339)</f>
        <v>2838.5</v>
      </c>
      <c r="I339" s="66"/>
      <c r="J339" s="89"/>
      <c r="K339" s="66"/>
      <c r="L339" s="65"/>
      <c r="M339" s="65">
        <f>SUM(G339)</f>
        <v>2838.5</v>
      </c>
      <c r="N339" s="65">
        <f>SUM(M339)</f>
        <v>2838.5</v>
      </c>
      <c r="O339" s="100"/>
      <c r="P339" s="100"/>
    </row>
    <row r="340" spans="1:16" ht="15.75" x14ac:dyDescent="0.2">
      <c r="A340" s="42"/>
      <c r="B340" s="43" t="s">
        <v>41</v>
      </c>
      <c r="C340" s="44" t="s">
        <v>435</v>
      </c>
      <c r="D340" s="45" t="s">
        <v>42</v>
      </c>
      <c r="E340" s="105"/>
      <c r="F340" s="65">
        <v>1000</v>
      </c>
      <c r="G340" s="65"/>
      <c r="H340" s="65">
        <v>1000</v>
      </c>
      <c r="I340" s="66">
        <v>0</v>
      </c>
      <c r="J340" s="89"/>
      <c r="K340" s="66">
        <v>0</v>
      </c>
      <c r="L340" s="65">
        <v>1000</v>
      </c>
      <c r="M340" s="65"/>
      <c r="N340" s="65">
        <v>1000</v>
      </c>
      <c r="O340" s="100"/>
      <c r="P340" s="100"/>
    </row>
    <row r="341" spans="1:16" ht="31.5" hidden="1" x14ac:dyDescent="0.2">
      <c r="A341" s="19" t="s">
        <v>436</v>
      </c>
      <c r="B341" s="20" t="s">
        <v>437</v>
      </c>
      <c r="C341" s="21" t="s">
        <v>438</v>
      </c>
      <c r="D341" s="22" t="s">
        <v>26</v>
      </c>
      <c r="E341" s="104"/>
      <c r="F341" s="34">
        <f>F342</f>
        <v>0</v>
      </c>
      <c r="G341" s="116"/>
      <c r="H341" s="116"/>
      <c r="I341" s="35">
        <f>I342</f>
        <v>0</v>
      </c>
      <c r="J341" s="36"/>
      <c r="K341" s="36"/>
      <c r="L341" s="36"/>
      <c r="M341" s="36"/>
      <c r="N341" s="36">
        <f>N342</f>
        <v>0</v>
      </c>
      <c r="O341" s="98"/>
      <c r="P341" s="98"/>
    </row>
    <row r="342" spans="1:16" ht="31.5" hidden="1" x14ac:dyDescent="0.2">
      <c r="A342" s="42"/>
      <c r="B342" s="43" t="s">
        <v>439</v>
      </c>
      <c r="C342" s="44" t="s">
        <v>440</v>
      </c>
      <c r="D342" s="45" t="s">
        <v>26</v>
      </c>
      <c r="E342" s="105"/>
      <c r="F342" s="65">
        <f>F343</f>
        <v>0</v>
      </c>
      <c r="G342" s="89"/>
      <c r="H342" s="89"/>
      <c r="I342" s="66">
        <f>I343</f>
        <v>0</v>
      </c>
      <c r="J342" s="67"/>
      <c r="K342" s="67"/>
      <c r="L342" s="67"/>
      <c r="M342" s="67"/>
      <c r="N342" s="67">
        <f>N343</f>
        <v>0</v>
      </c>
      <c r="O342" s="100"/>
      <c r="P342" s="100"/>
    </row>
    <row r="343" spans="1:16" ht="31.5" hidden="1" x14ac:dyDescent="0.2">
      <c r="A343" s="42"/>
      <c r="B343" s="43" t="s">
        <v>441</v>
      </c>
      <c r="C343" s="44" t="s">
        <v>442</v>
      </c>
      <c r="D343" s="45" t="s">
        <v>26</v>
      </c>
      <c r="E343" s="105"/>
      <c r="F343" s="65"/>
      <c r="G343" s="89"/>
      <c r="H343" s="89"/>
      <c r="I343" s="66">
        <f>I349</f>
        <v>0</v>
      </c>
      <c r="J343" s="89"/>
      <c r="K343" s="89"/>
      <c r="L343" s="89"/>
      <c r="M343" s="89"/>
      <c r="N343" s="65"/>
      <c r="O343" s="100"/>
      <c r="P343" s="100"/>
    </row>
    <row r="344" spans="1:16" ht="16.5" hidden="1" thickBot="1" x14ac:dyDescent="0.25">
      <c r="A344" s="57"/>
      <c r="B344" s="68" t="s">
        <v>41</v>
      </c>
      <c r="C344" s="69" t="s">
        <v>442</v>
      </c>
      <c r="D344" s="45" t="s">
        <v>42</v>
      </c>
      <c r="E344" s="105"/>
      <c r="F344" s="65"/>
      <c r="G344" s="89"/>
      <c r="H344" s="89"/>
      <c r="I344" s="66">
        <v>0</v>
      </c>
      <c r="J344" s="89"/>
      <c r="K344" s="89"/>
      <c r="L344" s="89"/>
      <c r="M344" s="89"/>
      <c r="N344" s="65"/>
      <c r="O344" s="100"/>
      <c r="P344" s="100"/>
    </row>
    <row r="345" spans="1:16" ht="31.5" x14ac:dyDescent="0.2">
      <c r="A345" s="57"/>
      <c r="B345" s="122" t="s">
        <v>439</v>
      </c>
      <c r="C345" s="124" t="s">
        <v>440</v>
      </c>
      <c r="D345" s="124"/>
      <c r="E345" s="124"/>
      <c r="F345" s="100"/>
      <c r="G345" s="100">
        <f>SUM(G347)</f>
        <v>45.9</v>
      </c>
      <c r="H345" s="100">
        <f>SUM(G345)</f>
        <v>45.9</v>
      </c>
      <c r="I345" s="100"/>
      <c r="J345" s="100"/>
      <c r="K345" s="100"/>
      <c r="L345" s="100"/>
      <c r="M345" s="100">
        <f t="shared" ref="M345:N347" si="70">SUM(G345)</f>
        <v>45.9</v>
      </c>
      <c r="N345" s="100">
        <f t="shared" si="70"/>
        <v>45.9</v>
      </c>
      <c r="O345" s="100"/>
      <c r="P345" s="100"/>
    </row>
    <row r="346" spans="1:16" ht="31.5" x14ac:dyDescent="0.2">
      <c r="A346" s="57"/>
      <c r="B346" s="122" t="s">
        <v>441</v>
      </c>
      <c r="C346" s="125" t="s">
        <v>442</v>
      </c>
      <c r="D346" s="124"/>
      <c r="E346" s="124"/>
      <c r="F346" s="100"/>
      <c r="G346" s="100">
        <f>SUM(G347)</f>
        <v>45.9</v>
      </c>
      <c r="H346" s="100">
        <f>SUM(G346)</f>
        <v>45.9</v>
      </c>
      <c r="I346" s="100"/>
      <c r="J346" s="100"/>
      <c r="K346" s="100"/>
      <c r="L346" s="100"/>
      <c r="M346" s="100">
        <f t="shared" si="70"/>
        <v>45.9</v>
      </c>
      <c r="N346" s="100">
        <f t="shared" si="70"/>
        <v>45.9</v>
      </c>
      <c r="O346" s="100"/>
      <c r="P346" s="100"/>
    </row>
    <row r="347" spans="1:16" ht="15.75" x14ac:dyDescent="0.2">
      <c r="A347" s="57"/>
      <c r="B347" s="43" t="s">
        <v>41</v>
      </c>
      <c r="C347" s="125" t="s">
        <v>442</v>
      </c>
      <c r="D347" s="124" t="s">
        <v>42</v>
      </c>
      <c r="E347" s="124"/>
      <c r="F347" s="100"/>
      <c r="G347" s="100">
        <f>38.6+7.3</f>
        <v>45.9</v>
      </c>
      <c r="H347" s="100">
        <f>SUM(G347)</f>
        <v>45.9</v>
      </c>
      <c r="I347" s="100"/>
      <c r="J347" s="100"/>
      <c r="K347" s="100"/>
      <c r="L347" s="100"/>
      <c r="M347" s="100">
        <f t="shared" si="70"/>
        <v>45.9</v>
      </c>
      <c r="N347" s="100">
        <f t="shared" si="70"/>
        <v>45.9</v>
      </c>
      <c r="O347" s="100"/>
      <c r="P347" s="100"/>
    </row>
    <row r="348" spans="1:16" ht="34.15" customHeight="1" x14ac:dyDescent="0.2">
      <c r="A348" s="57"/>
      <c r="B348" s="464" t="s">
        <v>443</v>
      </c>
      <c r="C348" s="465"/>
      <c r="D348" s="465"/>
      <c r="E348" s="465"/>
      <c r="F348" s="465"/>
      <c r="G348" s="465"/>
      <c r="H348" s="465"/>
      <c r="I348" s="465"/>
      <c r="J348" s="465"/>
      <c r="K348" s="465"/>
      <c r="L348" s="465"/>
      <c r="M348" s="465"/>
      <c r="N348" s="465"/>
      <c r="O348" s="86"/>
      <c r="P348" s="86"/>
    </row>
    <row r="349" spans="1:16" ht="16.5" customHeight="1" thickBot="1" x14ac:dyDescent="0.25">
      <c r="A349" s="70"/>
      <c r="B349" s="466"/>
      <c r="C349" s="467"/>
      <c r="D349" s="467"/>
      <c r="E349" s="467"/>
      <c r="F349" s="467"/>
      <c r="G349" s="467"/>
      <c r="H349" s="467"/>
      <c r="I349" s="467"/>
      <c r="J349" s="467"/>
      <c r="K349" s="467"/>
      <c r="L349" s="467"/>
      <c r="M349" s="467"/>
      <c r="N349" s="467"/>
      <c r="O349" s="86"/>
      <c r="P349" s="86"/>
    </row>
  </sheetData>
  <mergeCells count="18">
    <mergeCell ref="C15:D15"/>
    <mergeCell ref="F15:N15"/>
    <mergeCell ref="B17:D17"/>
    <mergeCell ref="B314:D314"/>
    <mergeCell ref="B348:N349"/>
    <mergeCell ref="A8:N8"/>
    <mergeCell ref="A9:N9"/>
    <mergeCell ref="A10:N10"/>
    <mergeCell ref="A13:A14"/>
    <mergeCell ref="B13:B14"/>
    <mergeCell ref="C13:D13"/>
    <mergeCell ref="F13:N13"/>
    <mergeCell ref="I6:N6"/>
    <mergeCell ref="I1:N1"/>
    <mergeCell ref="I2:N2"/>
    <mergeCell ref="I3:N3"/>
    <mergeCell ref="I4:N4"/>
    <mergeCell ref="I5:N5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01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20"/>
  <sheetViews>
    <sheetView view="pageBreakPreview" topLeftCell="A230" zoomScale="70" zoomScaleNormal="70" zoomScaleSheetLayoutView="70" workbookViewId="0">
      <selection activeCell="C287" sqref="C287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8" width="18.28515625" customWidth="1"/>
    <col min="9" max="13" width="18" customWidth="1"/>
    <col min="14" max="16" width="26.5703125" customWidth="1"/>
    <col min="17" max="17" width="18.8554687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80"/>
      <c r="P1" s="80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80"/>
      <c r="P2" s="80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80"/>
      <c r="P3" s="80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80"/>
      <c r="P4" s="80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445</v>
      </c>
      <c r="J5" s="440"/>
      <c r="K5" s="440"/>
      <c r="L5" s="440"/>
      <c r="M5" s="440"/>
      <c r="N5" s="440"/>
      <c r="O5" s="80"/>
      <c r="P5" s="80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80"/>
      <c r="P6" s="80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84"/>
      <c r="P8" s="84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84"/>
      <c r="P9" s="84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85"/>
      <c r="P10" s="85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10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0" t="s">
        <v>15</v>
      </c>
      <c r="J14" s="110" t="s">
        <v>13</v>
      </c>
      <c r="K14" s="110" t="s">
        <v>14</v>
      </c>
      <c r="L14" s="11" t="s">
        <v>16</v>
      </c>
      <c r="M14" s="110" t="s">
        <v>13</v>
      </c>
      <c r="N14" s="13" t="s">
        <v>16</v>
      </c>
      <c r="O14" s="90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81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38" t="s">
        <v>20</v>
      </c>
      <c r="C16" s="38"/>
      <c r="D16" s="39"/>
      <c r="E16" s="103"/>
      <c r="F16" s="40">
        <f t="shared" ref="F16:N16" si="0">F17+F289</f>
        <v>529501.19999999995</v>
      </c>
      <c r="G16" s="40">
        <f t="shared" si="0"/>
        <v>0</v>
      </c>
      <c r="H16" s="40">
        <f t="shared" si="0"/>
        <v>529501.19999999995</v>
      </c>
      <c r="I16" s="41">
        <f t="shared" si="0"/>
        <v>2398493.8000000003</v>
      </c>
      <c r="J16" s="40">
        <f t="shared" si="0"/>
        <v>0</v>
      </c>
      <c r="K16" s="41">
        <f t="shared" si="0"/>
        <v>2425150.4000000004</v>
      </c>
      <c r="L16" s="41">
        <f t="shared" si="0"/>
        <v>2927995</v>
      </c>
      <c r="M16" s="40">
        <f>M17+M289</f>
        <v>0</v>
      </c>
      <c r="N16" s="41">
        <f t="shared" si="0"/>
        <v>2927995</v>
      </c>
      <c r="O16" s="92"/>
      <c r="P16" s="92"/>
    </row>
    <row r="17" spans="1:17" ht="32.450000000000003" customHeight="1" x14ac:dyDescent="0.2">
      <c r="A17" s="16" t="s">
        <v>21</v>
      </c>
      <c r="B17" s="459" t="s">
        <v>22</v>
      </c>
      <c r="C17" s="460"/>
      <c r="D17" s="460"/>
      <c r="E17" s="82"/>
      <c r="F17" s="17">
        <f t="shared" ref="F17:N17" si="1">F18+F31+F36+F69+F81+F104+F150+F173+F182+F220+F237+F249+F281+F285</f>
        <v>494469.79999999993</v>
      </c>
      <c r="G17" s="17">
        <f t="shared" si="1"/>
        <v>0</v>
      </c>
      <c r="H17" s="17">
        <f t="shared" si="1"/>
        <v>494469.79999999993</v>
      </c>
      <c r="I17" s="18">
        <f t="shared" si="1"/>
        <v>2397725.7000000002</v>
      </c>
      <c r="J17" s="17">
        <f t="shared" si="1"/>
        <v>0</v>
      </c>
      <c r="K17" s="18">
        <f t="shared" si="1"/>
        <v>2424382.3000000003</v>
      </c>
      <c r="L17" s="17">
        <f t="shared" si="1"/>
        <v>2892195.5</v>
      </c>
      <c r="M17" s="17">
        <f t="shared" si="1"/>
        <v>0</v>
      </c>
      <c r="N17" s="17">
        <f t="shared" si="1"/>
        <v>2892195.5</v>
      </c>
      <c r="O17" s="93"/>
      <c r="P17" s="93"/>
    </row>
    <row r="18" spans="1:17" ht="22.15" customHeight="1" x14ac:dyDescent="0.2">
      <c r="A18" s="19" t="s">
        <v>23</v>
      </c>
      <c r="B18" s="20" t="s">
        <v>24</v>
      </c>
      <c r="C18" s="21" t="s">
        <v>25</v>
      </c>
      <c r="D18" s="22" t="s">
        <v>26</v>
      </c>
      <c r="E18" s="104"/>
      <c r="F18" s="23">
        <f t="shared" ref="F18:N18" si="2">F19+F24</f>
        <v>13627.000000000002</v>
      </c>
      <c r="G18" s="23">
        <f t="shared" si="2"/>
        <v>0</v>
      </c>
      <c r="H18" s="23">
        <f t="shared" si="2"/>
        <v>13627.000000000002</v>
      </c>
      <c r="I18" s="24">
        <f t="shared" si="2"/>
        <v>0</v>
      </c>
      <c r="J18" s="23">
        <f t="shared" si="2"/>
        <v>0</v>
      </c>
      <c r="K18" s="24">
        <f t="shared" si="2"/>
        <v>0</v>
      </c>
      <c r="L18" s="23">
        <f t="shared" si="2"/>
        <v>13627.000000000002</v>
      </c>
      <c r="M18" s="23">
        <f t="shared" si="2"/>
        <v>0</v>
      </c>
      <c r="N18" s="23">
        <f t="shared" si="2"/>
        <v>13627.000000000002</v>
      </c>
      <c r="O18" s="93"/>
      <c r="P18" s="93"/>
      <c r="Q18" s="25"/>
    </row>
    <row r="19" spans="1:17" ht="47.25" x14ac:dyDescent="0.2">
      <c r="A19" s="42"/>
      <c r="B19" s="43" t="s">
        <v>27</v>
      </c>
      <c r="C19" s="44" t="s">
        <v>28</v>
      </c>
      <c r="D19" s="45" t="s">
        <v>26</v>
      </c>
      <c r="E19" s="105"/>
      <c r="F19" s="46">
        <f>F20+F22</f>
        <v>2346.5</v>
      </c>
      <c r="G19" s="46">
        <f>G20+G22</f>
        <v>0</v>
      </c>
      <c r="H19" s="46">
        <f>H20+H22</f>
        <v>2346.5</v>
      </c>
      <c r="I19" s="47">
        <f>I20+I22</f>
        <v>0</v>
      </c>
      <c r="J19" s="88"/>
      <c r="K19" s="47">
        <f>K20+K22</f>
        <v>0</v>
      </c>
      <c r="L19" s="46">
        <f>L20+L22</f>
        <v>2346.5</v>
      </c>
      <c r="M19" s="46">
        <f>M20+M22</f>
        <v>0</v>
      </c>
      <c r="N19" s="46">
        <f>N20+N22</f>
        <v>2346.5</v>
      </c>
      <c r="O19" s="94"/>
      <c r="P19" s="94"/>
      <c r="Q19" s="48"/>
    </row>
    <row r="20" spans="1:17" ht="47.25" x14ac:dyDescent="0.2">
      <c r="A20" s="42"/>
      <c r="B20" s="43" t="s">
        <v>29</v>
      </c>
      <c r="C20" s="44" t="s">
        <v>30</v>
      </c>
      <c r="D20" s="45" t="s">
        <v>26</v>
      </c>
      <c r="E20" s="105"/>
      <c r="F20" s="46">
        <f>F21</f>
        <v>1500</v>
      </c>
      <c r="G20" s="46">
        <f>G21</f>
        <v>0</v>
      </c>
      <c r="H20" s="46">
        <f>H21</f>
        <v>1500</v>
      </c>
      <c r="I20" s="47">
        <f>I21</f>
        <v>0</v>
      </c>
      <c r="J20" s="88"/>
      <c r="K20" s="47">
        <f>K21</f>
        <v>0</v>
      </c>
      <c r="L20" s="46">
        <f>L21</f>
        <v>1500</v>
      </c>
      <c r="M20" s="46">
        <f>M21</f>
        <v>0</v>
      </c>
      <c r="N20" s="46">
        <f>N21</f>
        <v>1500</v>
      </c>
      <c r="O20" s="94"/>
      <c r="P20" s="94"/>
    </row>
    <row r="21" spans="1:17" ht="67.900000000000006" customHeight="1" x14ac:dyDescent="0.2">
      <c r="A21" s="42"/>
      <c r="B21" s="43" t="s">
        <v>31</v>
      </c>
      <c r="C21" s="44" t="s">
        <v>30</v>
      </c>
      <c r="D21" s="45" t="s">
        <v>32</v>
      </c>
      <c r="E21" s="105"/>
      <c r="F21" s="46">
        <v>1500</v>
      </c>
      <c r="G21" s="46"/>
      <c r="H21" s="46">
        <v>1500</v>
      </c>
      <c r="I21" s="47">
        <v>0</v>
      </c>
      <c r="J21" s="88"/>
      <c r="K21" s="47">
        <v>0</v>
      </c>
      <c r="L21" s="46">
        <v>1500</v>
      </c>
      <c r="M21" s="46"/>
      <c r="N21" s="46">
        <v>1500</v>
      </c>
      <c r="O21" s="94"/>
      <c r="P21" s="94"/>
    </row>
    <row r="22" spans="1:17" ht="36" customHeight="1" x14ac:dyDescent="0.2">
      <c r="A22" s="42"/>
      <c r="B22" s="43" t="s">
        <v>33</v>
      </c>
      <c r="C22" s="44" t="s">
        <v>34</v>
      </c>
      <c r="D22" s="45" t="s">
        <v>26</v>
      </c>
      <c r="E22" s="105"/>
      <c r="F22" s="46">
        <f>F23</f>
        <v>846.5</v>
      </c>
      <c r="G22" s="46">
        <f>G23</f>
        <v>0</v>
      </c>
      <c r="H22" s="46">
        <f>H23</f>
        <v>846.5</v>
      </c>
      <c r="I22" s="47">
        <f>I23</f>
        <v>0</v>
      </c>
      <c r="J22" s="88"/>
      <c r="K22" s="47">
        <f>K23</f>
        <v>0</v>
      </c>
      <c r="L22" s="46">
        <f>L23</f>
        <v>846.5</v>
      </c>
      <c r="M22" s="46">
        <f>M23</f>
        <v>0</v>
      </c>
      <c r="N22" s="46">
        <f>N23</f>
        <v>846.5</v>
      </c>
      <c r="O22" s="94"/>
      <c r="P22" s="94"/>
    </row>
    <row r="23" spans="1:17" ht="31.5" x14ac:dyDescent="0.2">
      <c r="A23" s="42"/>
      <c r="B23" s="43" t="s">
        <v>35</v>
      </c>
      <c r="C23" s="44" t="s">
        <v>34</v>
      </c>
      <c r="D23" s="45" t="s">
        <v>36</v>
      </c>
      <c r="E23" s="105"/>
      <c r="F23" s="46">
        <v>846.5</v>
      </c>
      <c r="G23" s="46"/>
      <c r="H23" s="46">
        <v>846.5</v>
      </c>
      <c r="I23" s="47">
        <v>0</v>
      </c>
      <c r="J23" s="88"/>
      <c r="K23" s="47">
        <v>0</v>
      </c>
      <c r="L23" s="46">
        <v>846.5</v>
      </c>
      <c r="M23" s="46"/>
      <c r="N23" s="46">
        <v>846.5</v>
      </c>
      <c r="O23" s="94"/>
      <c r="P23" s="94"/>
    </row>
    <row r="24" spans="1:17" ht="47.25" x14ac:dyDescent="0.2">
      <c r="A24" s="42"/>
      <c r="B24" s="43" t="s">
        <v>37</v>
      </c>
      <c r="C24" s="44" t="s">
        <v>38</v>
      </c>
      <c r="D24" s="45" t="s">
        <v>26</v>
      </c>
      <c r="E24" s="105"/>
      <c r="F24" s="46">
        <f>F25+F29</f>
        <v>11280.500000000002</v>
      </c>
      <c r="G24" s="46">
        <f>G25+G29</f>
        <v>0</v>
      </c>
      <c r="H24" s="46">
        <f>H25+H29</f>
        <v>11280.500000000002</v>
      </c>
      <c r="I24" s="47">
        <f>I25+I29</f>
        <v>0</v>
      </c>
      <c r="J24" s="88"/>
      <c r="K24" s="47">
        <f>K25+K29</f>
        <v>0</v>
      </c>
      <c r="L24" s="46">
        <f>L25+L29</f>
        <v>11280.500000000002</v>
      </c>
      <c r="M24" s="46">
        <f>M25+M29</f>
        <v>0</v>
      </c>
      <c r="N24" s="46">
        <f>N25+N29</f>
        <v>11280.500000000002</v>
      </c>
      <c r="O24" s="94"/>
      <c r="P24" s="94"/>
    </row>
    <row r="25" spans="1:17" ht="31.5" x14ac:dyDescent="0.2">
      <c r="A25" s="42"/>
      <c r="B25" s="43" t="s">
        <v>39</v>
      </c>
      <c r="C25" s="44" t="s">
        <v>40</v>
      </c>
      <c r="D25" s="45" t="s">
        <v>26</v>
      </c>
      <c r="E25" s="105"/>
      <c r="F25" s="46">
        <f>F26+F27+F28</f>
        <v>10559.400000000001</v>
      </c>
      <c r="G25" s="46">
        <f>G26+G27+G28</f>
        <v>0</v>
      </c>
      <c r="H25" s="46">
        <f>H26+H27+H28</f>
        <v>10559.400000000001</v>
      </c>
      <c r="I25" s="47">
        <f>I26+I27+I28</f>
        <v>0</v>
      </c>
      <c r="J25" s="88"/>
      <c r="K25" s="47">
        <f>K26+K27+K28</f>
        <v>0</v>
      </c>
      <c r="L25" s="46">
        <f>L26+L27+L28</f>
        <v>10559.400000000001</v>
      </c>
      <c r="M25" s="46">
        <f>M26+M27+M28</f>
        <v>0</v>
      </c>
      <c r="N25" s="46">
        <f>N26+N27+N28</f>
        <v>10559.400000000001</v>
      </c>
      <c r="O25" s="94"/>
      <c r="P25" s="94"/>
    </row>
    <row r="26" spans="1:17" ht="67.900000000000006" customHeight="1" x14ac:dyDescent="0.2">
      <c r="A26" s="42"/>
      <c r="B26" s="43" t="s">
        <v>31</v>
      </c>
      <c r="C26" s="44" t="s">
        <v>40</v>
      </c>
      <c r="D26" s="45" t="s">
        <v>32</v>
      </c>
      <c r="E26" s="105"/>
      <c r="F26" s="46">
        <v>7992.2</v>
      </c>
      <c r="G26" s="46"/>
      <c r="H26" s="46">
        <v>7992.2</v>
      </c>
      <c r="I26" s="47">
        <v>0</v>
      </c>
      <c r="J26" s="88"/>
      <c r="K26" s="47">
        <v>0</v>
      </c>
      <c r="L26" s="46">
        <v>7992.2</v>
      </c>
      <c r="M26" s="46"/>
      <c r="N26" s="46">
        <v>7992.2</v>
      </c>
      <c r="O26" s="94"/>
      <c r="P26" s="94"/>
    </row>
    <row r="27" spans="1:17" ht="31.5" x14ac:dyDescent="0.2">
      <c r="A27" s="42"/>
      <c r="B27" s="43" t="s">
        <v>35</v>
      </c>
      <c r="C27" s="44" t="s">
        <v>40</v>
      </c>
      <c r="D27" s="45" t="s">
        <v>36</v>
      </c>
      <c r="E27" s="105"/>
      <c r="F27" s="46">
        <v>2563.5</v>
      </c>
      <c r="G27" s="46"/>
      <c r="H27" s="46">
        <v>2563.5</v>
      </c>
      <c r="I27" s="47">
        <v>0</v>
      </c>
      <c r="J27" s="88"/>
      <c r="K27" s="47">
        <v>0</v>
      </c>
      <c r="L27" s="46">
        <v>2563.5</v>
      </c>
      <c r="M27" s="46"/>
      <c r="N27" s="46">
        <v>2563.5</v>
      </c>
      <c r="O27" s="94"/>
      <c r="P27" s="94"/>
    </row>
    <row r="28" spans="1:17" ht="15.75" x14ac:dyDescent="0.2">
      <c r="A28" s="42"/>
      <c r="B28" s="43" t="s">
        <v>41</v>
      </c>
      <c r="C28" s="44" t="s">
        <v>40</v>
      </c>
      <c r="D28" s="45" t="s">
        <v>42</v>
      </c>
      <c r="E28" s="105"/>
      <c r="F28" s="46">
        <v>3.7</v>
      </c>
      <c r="G28" s="46"/>
      <c r="H28" s="46">
        <v>3.7</v>
      </c>
      <c r="I28" s="47">
        <v>0</v>
      </c>
      <c r="J28" s="88"/>
      <c r="K28" s="47">
        <v>0</v>
      </c>
      <c r="L28" s="46">
        <v>3.7</v>
      </c>
      <c r="M28" s="46"/>
      <c r="N28" s="46">
        <v>3.7</v>
      </c>
      <c r="O28" s="94"/>
      <c r="P28" s="94"/>
    </row>
    <row r="29" spans="1:17" ht="31.5" x14ac:dyDescent="0.2">
      <c r="A29" s="42"/>
      <c r="B29" s="43" t="s">
        <v>43</v>
      </c>
      <c r="C29" s="44" t="s">
        <v>44</v>
      </c>
      <c r="D29" s="45" t="s">
        <v>26</v>
      </c>
      <c r="E29" s="105"/>
      <c r="F29" s="46">
        <f>F30</f>
        <v>721.1</v>
      </c>
      <c r="G29" s="46">
        <f>G30</f>
        <v>0</v>
      </c>
      <c r="H29" s="46">
        <f>H30</f>
        <v>721.1</v>
      </c>
      <c r="I29" s="47">
        <f>I30</f>
        <v>0</v>
      </c>
      <c r="J29" s="88"/>
      <c r="K29" s="47">
        <f>K30</f>
        <v>0</v>
      </c>
      <c r="L29" s="46">
        <f>L30</f>
        <v>721.1</v>
      </c>
      <c r="M29" s="46">
        <f>M30</f>
        <v>0</v>
      </c>
      <c r="N29" s="46">
        <f>N30</f>
        <v>721.1</v>
      </c>
      <c r="O29" s="94"/>
      <c r="P29" s="94"/>
    </row>
    <row r="30" spans="1:17" ht="31.5" x14ac:dyDescent="0.2">
      <c r="A30" s="42"/>
      <c r="B30" s="43" t="s">
        <v>35</v>
      </c>
      <c r="C30" s="44" t="s">
        <v>44</v>
      </c>
      <c r="D30" s="45" t="s">
        <v>36</v>
      </c>
      <c r="E30" s="105"/>
      <c r="F30" s="46">
        <v>721.1</v>
      </c>
      <c r="G30" s="46"/>
      <c r="H30" s="46">
        <v>721.1</v>
      </c>
      <c r="I30" s="47">
        <v>0</v>
      </c>
      <c r="J30" s="88"/>
      <c r="K30" s="47">
        <v>0</v>
      </c>
      <c r="L30" s="46">
        <v>721.1</v>
      </c>
      <c r="M30" s="46"/>
      <c r="N30" s="46">
        <v>721.1</v>
      </c>
      <c r="O30" s="94"/>
      <c r="P30" s="94"/>
    </row>
    <row r="31" spans="1:17" ht="31.5" x14ac:dyDescent="0.2">
      <c r="A31" s="19" t="s">
        <v>47</v>
      </c>
      <c r="B31" s="20" t="s">
        <v>48</v>
      </c>
      <c r="C31" s="21" t="s">
        <v>49</v>
      </c>
      <c r="D31" s="22" t="s">
        <v>26</v>
      </c>
      <c r="E31" s="104"/>
      <c r="F31" s="23">
        <f t="shared" ref="F31:N32" si="3">F32</f>
        <v>1813.8</v>
      </c>
      <c r="G31" s="23">
        <f t="shared" si="3"/>
        <v>0</v>
      </c>
      <c r="H31" s="23">
        <f t="shared" si="3"/>
        <v>1813.8</v>
      </c>
      <c r="I31" s="24">
        <f t="shared" si="3"/>
        <v>0</v>
      </c>
      <c r="J31" s="23">
        <f t="shared" si="3"/>
        <v>0</v>
      </c>
      <c r="K31" s="24">
        <f t="shared" si="3"/>
        <v>0</v>
      </c>
      <c r="L31" s="23">
        <f t="shared" si="3"/>
        <v>1813.8</v>
      </c>
      <c r="M31" s="23">
        <f t="shared" si="3"/>
        <v>0</v>
      </c>
      <c r="N31" s="23">
        <f t="shared" si="3"/>
        <v>1813.8</v>
      </c>
      <c r="O31" s="93"/>
      <c r="P31" s="93"/>
    </row>
    <row r="32" spans="1:17" ht="50.45" customHeight="1" x14ac:dyDescent="0.2">
      <c r="A32" s="42"/>
      <c r="B32" s="43" t="s">
        <v>50</v>
      </c>
      <c r="C32" s="44" t="s">
        <v>51</v>
      </c>
      <c r="D32" s="45" t="s">
        <v>26</v>
      </c>
      <c r="E32" s="105"/>
      <c r="F32" s="46">
        <f t="shared" si="3"/>
        <v>1813.8</v>
      </c>
      <c r="G32" s="46">
        <f t="shared" si="3"/>
        <v>0</v>
      </c>
      <c r="H32" s="46">
        <f t="shared" si="3"/>
        <v>1813.8</v>
      </c>
      <c r="I32" s="47">
        <f t="shared" si="3"/>
        <v>0</v>
      </c>
      <c r="J32" s="88"/>
      <c r="K32" s="47">
        <f t="shared" si="3"/>
        <v>0</v>
      </c>
      <c r="L32" s="46">
        <f t="shared" si="3"/>
        <v>1813.8</v>
      </c>
      <c r="M32" s="46">
        <f t="shared" si="3"/>
        <v>0</v>
      </c>
      <c r="N32" s="46">
        <f t="shared" si="3"/>
        <v>1813.8</v>
      </c>
      <c r="O32" s="94"/>
      <c r="P32" s="94"/>
    </row>
    <row r="33" spans="1:17" ht="36.6" customHeight="1" x14ac:dyDescent="0.2">
      <c r="A33" s="42"/>
      <c r="B33" s="43" t="s">
        <v>52</v>
      </c>
      <c r="C33" s="44" t="s">
        <v>53</v>
      </c>
      <c r="D33" s="45" t="s">
        <v>26</v>
      </c>
      <c r="E33" s="105"/>
      <c r="F33" s="46">
        <f>F34+F35</f>
        <v>1813.8</v>
      </c>
      <c r="G33" s="46">
        <f>G34+G35</f>
        <v>0</v>
      </c>
      <c r="H33" s="46">
        <f>H34+H35</f>
        <v>1813.8</v>
      </c>
      <c r="I33" s="47">
        <f>I34+I35</f>
        <v>0</v>
      </c>
      <c r="J33" s="88"/>
      <c r="K33" s="47">
        <f>K34+K35</f>
        <v>0</v>
      </c>
      <c r="L33" s="46">
        <f>L34+L35</f>
        <v>1813.8</v>
      </c>
      <c r="M33" s="46">
        <f>M34+M35</f>
        <v>0</v>
      </c>
      <c r="N33" s="46">
        <f>N34+N35</f>
        <v>1813.8</v>
      </c>
      <c r="O33" s="94"/>
      <c r="P33" s="94"/>
    </row>
    <row r="34" spans="1:17" ht="31.5" x14ac:dyDescent="0.2">
      <c r="A34" s="42"/>
      <c r="B34" s="43" t="s">
        <v>35</v>
      </c>
      <c r="C34" s="44" t="s">
        <v>53</v>
      </c>
      <c r="D34" s="45" t="s">
        <v>36</v>
      </c>
      <c r="E34" s="105"/>
      <c r="F34" s="46">
        <v>300</v>
      </c>
      <c r="G34" s="46"/>
      <c r="H34" s="46">
        <v>300</v>
      </c>
      <c r="I34" s="47"/>
      <c r="J34" s="88"/>
      <c r="K34" s="47"/>
      <c r="L34" s="46">
        <v>300</v>
      </c>
      <c r="M34" s="46"/>
      <c r="N34" s="46">
        <v>300</v>
      </c>
      <c r="O34" s="94"/>
      <c r="P34" s="94"/>
    </row>
    <row r="35" spans="1:17" ht="15.75" x14ac:dyDescent="0.2">
      <c r="A35" s="42"/>
      <c r="B35" s="43" t="s">
        <v>54</v>
      </c>
      <c r="C35" s="44" t="s">
        <v>53</v>
      </c>
      <c r="D35" s="45" t="s">
        <v>55</v>
      </c>
      <c r="E35" s="105"/>
      <c r="F35" s="46">
        <v>1513.8</v>
      </c>
      <c r="G35" s="46"/>
      <c r="H35" s="46">
        <v>1513.8</v>
      </c>
      <c r="I35" s="47"/>
      <c r="J35" s="88"/>
      <c r="K35" s="47"/>
      <c r="L35" s="46">
        <v>1513.8</v>
      </c>
      <c r="M35" s="46"/>
      <c r="N35" s="46">
        <v>1513.8</v>
      </c>
      <c r="O35" s="94"/>
      <c r="P35" s="94"/>
    </row>
    <row r="36" spans="1:17" ht="31.5" x14ac:dyDescent="0.2">
      <c r="A36" s="19" t="s">
        <v>56</v>
      </c>
      <c r="B36" s="20" t="s">
        <v>57</v>
      </c>
      <c r="C36" s="21" t="s">
        <v>58</v>
      </c>
      <c r="D36" s="22" t="s">
        <v>26</v>
      </c>
      <c r="E36" s="104"/>
      <c r="F36" s="23">
        <f t="shared" ref="F36:N36" si="4">F37+F45+F64</f>
        <v>133559.29999999999</v>
      </c>
      <c r="G36" s="23">
        <f t="shared" si="4"/>
        <v>0</v>
      </c>
      <c r="H36" s="23">
        <f t="shared" si="4"/>
        <v>133559.29999999999</v>
      </c>
      <c r="I36" s="24">
        <f t="shared" si="4"/>
        <v>5408.7</v>
      </c>
      <c r="J36" s="23">
        <f t="shared" si="4"/>
        <v>0</v>
      </c>
      <c r="K36" s="24">
        <f t="shared" si="4"/>
        <v>5408.7</v>
      </c>
      <c r="L36" s="23">
        <f t="shared" si="4"/>
        <v>138968</v>
      </c>
      <c r="M36" s="23">
        <f t="shared" si="4"/>
        <v>0</v>
      </c>
      <c r="N36" s="23">
        <f t="shared" si="4"/>
        <v>138968</v>
      </c>
      <c r="O36" s="93"/>
      <c r="P36" s="93"/>
      <c r="Q36" s="25"/>
    </row>
    <row r="37" spans="1:17" ht="15.75" x14ac:dyDescent="0.2">
      <c r="A37" s="49"/>
      <c r="B37" s="50" t="s">
        <v>59</v>
      </c>
      <c r="C37" s="51" t="s">
        <v>60</v>
      </c>
      <c r="D37" s="52" t="s">
        <v>26</v>
      </c>
      <c r="E37" s="106"/>
      <c r="F37" s="53">
        <f>F38</f>
        <v>5600</v>
      </c>
      <c r="G37" s="53">
        <f>G38</f>
        <v>0</v>
      </c>
      <c r="H37" s="53">
        <f>H38</f>
        <v>5600</v>
      </c>
      <c r="I37" s="54">
        <f>I38</f>
        <v>0</v>
      </c>
      <c r="J37" s="87"/>
      <c r="K37" s="54">
        <f>K38</f>
        <v>0</v>
      </c>
      <c r="L37" s="53">
        <f>L38</f>
        <v>5600</v>
      </c>
      <c r="M37" s="53">
        <f>M38</f>
        <v>0</v>
      </c>
      <c r="N37" s="53">
        <f>N38</f>
        <v>5600</v>
      </c>
      <c r="O37" s="95"/>
      <c r="P37" s="95"/>
    </row>
    <row r="38" spans="1:17" ht="15.75" x14ac:dyDescent="0.2">
      <c r="A38" s="42"/>
      <c r="B38" s="43" t="s">
        <v>61</v>
      </c>
      <c r="C38" s="44" t="s">
        <v>62</v>
      </c>
      <c r="D38" s="45" t="s">
        <v>26</v>
      </c>
      <c r="E38" s="105"/>
      <c r="F38" s="46">
        <f>F39+F41+F43</f>
        <v>5600</v>
      </c>
      <c r="G38" s="46">
        <f>G39+G41+G43</f>
        <v>0</v>
      </c>
      <c r="H38" s="46">
        <f>H39+H41+H43</f>
        <v>5600</v>
      </c>
      <c r="I38" s="47">
        <f>I39+I41+I43</f>
        <v>0</v>
      </c>
      <c r="J38" s="88"/>
      <c r="K38" s="47">
        <f>K39+K41+K43</f>
        <v>0</v>
      </c>
      <c r="L38" s="46">
        <f>L39+L41+L43</f>
        <v>5600</v>
      </c>
      <c r="M38" s="46">
        <f>M39+M41+M43</f>
        <v>0</v>
      </c>
      <c r="N38" s="46">
        <f>N39+N41+N43</f>
        <v>5600</v>
      </c>
      <c r="O38" s="94"/>
      <c r="P38" s="94"/>
    </row>
    <row r="39" spans="1:17" ht="15.75" x14ac:dyDescent="0.2">
      <c r="A39" s="42"/>
      <c r="B39" s="43" t="s">
        <v>63</v>
      </c>
      <c r="C39" s="44" t="s">
        <v>64</v>
      </c>
      <c r="D39" s="45" t="s">
        <v>26</v>
      </c>
      <c r="E39" s="105"/>
      <c r="F39" s="46">
        <f>F40</f>
        <v>5300</v>
      </c>
      <c r="G39" s="46">
        <f>G40</f>
        <v>0</v>
      </c>
      <c r="H39" s="46">
        <f>H40</f>
        <v>5300</v>
      </c>
      <c r="I39" s="47">
        <f>I40</f>
        <v>0</v>
      </c>
      <c r="J39" s="88"/>
      <c r="K39" s="47">
        <f>K40</f>
        <v>0</v>
      </c>
      <c r="L39" s="46">
        <f>L40</f>
        <v>5300</v>
      </c>
      <c r="M39" s="46">
        <f>M40</f>
        <v>0</v>
      </c>
      <c r="N39" s="46">
        <f>N40</f>
        <v>5300</v>
      </c>
      <c r="O39" s="94"/>
      <c r="P39" s="94"/>
    </row>
    <row r="40" spans="1:17" ht="31.5" x14ac:dyDescent="0.2">
      <c r="A40" s="42"/>
      <c r="B40" s="43" t="s">
        <v>35</v>
      </c>
      <c r="C40" s="44" t="s">
        <v>64</v>
      </c>
      <c r="D40" s="45" t="s">
        <v>36</v>
      </c>
      <c r="E40" s="105"/>
      <c r="F40" s="46">
        <v>5300</v>
      </c>
      <c r="G40" s="46"/>
      <c r="H40" s="46">
        <v>5300</v>
      </c>
      <c r="I40" s="47">
        <v>0</v>
      </c>
      <c r="J40" s="88"/>
      <c r="K40" s="47">
        <v>0</v>
      </c>
      <c r="L40" s="46">
        <v>5300</v>
      </c>
      <c r="M40" s="46"/>
      <c r="N40" s="46">
        <v>5300</v>
      </c>
      <c r="O40" s="94"/>
      <c r="P40" s="94"/>
    </row>
    <row r="41" spans="1:17" ht="15.75" x14ac:dyDescent="0.2">
      <c r="A41" s="42"/>
      <c r="B41" s="43" t="s">
        <v>65</v>
      </c>
      <c r="C41" s="44" t="s">
        <v>66</v>
      </c>
      <c r="D41" s="45" t="s">
        <v>26</v>
      </c>
      <c r="E41" s="105"/>
      <c r="F41" s="46">
        <f>F42</f>
        <v>300</v>
      </c>
      <c r="G41" s="46">
        <f>G42</f>
        <v>0</v>
      </c>
      <c r="H41" s="46">
        <f>H42</f>
        <v>300</v>
      </c>
      <c r="I41" s="47">
        <f>I42</f>
        <v>0</v>
      </c>
      <c r="J41" s="88"/>
      <c r="K41" s="47">
        <f>K42</f>
        <v>0</v>
      </c>
      <c r="L41" s="46">
        <f>L42</f>
        <v>300</v>
      </c>
      <c r="M41" s="46">
        <f>M42</f>
        <v>0</v>
      </c>
      <c r="N41" s="46">
        <f>N42</f>
        <v>300</v>
      </c>
      <c r="O41" s="94"/>
      <c r="P41" s="94"/>
    </row>
    <row r="42" spans="1:17" ht="31.5" x14ac:dyDescent="0.2">
      <c r="A42" s="42"/>
      <c r="B42" s="43" t="s">
        <v>35</v>
      </c>
      <c r="C42" s="44" t="s">
        <v>66</v>
      </c>
      <c r="D42" s="45" t="s">
        <v>36</v>
      </c>
      <c r="E42" s="105"/>
      <c r="F42" s="46">
        <v>300</v>
      </c>
      <c r="G42" s="46"/>
      <c r="H42" s="46">
        <v>300</v>
      </c>
      <c r="I42" s="47">
        <v>0</v>
      </c>
      <c r="J42" s="88"/>
      <c r="K42" s="47">
        <v>0</v>
      </c>
      <c r="L42" s="46">
        <v>300</v>
      </c>
      <c r="M42" s="46"/>
      <c r="N42" s="46">
        <v>300</v>
      </c>
      <c r="O42" s="94"/>
      <c r="P42" s="94"/>
    </row>
    <row r="43" spans="1:17" ht="15.75" x14ac:dyDescent="0.2">
      <c r="A43" s="42"/>
      <c r="B43" s="43" t="s">
        <v>67</v>
      </c>
      <c r="C43" s="44" t="s">
        <v>68</v>
      </c>
      <c r="D43" s="45" t="s">
        <v>26</v>
      </c>
      <c r="E43" s="105"/>
      <c r="F43" s="46">
        <f>F44</f>
        <v>0</v>
      </c>
      <c r="G43" s="46">
        <f>G44</f>
        <v>0</v>
      </c>
      <c r="H43" s="46">
        <f>H44</f>
        <v>0</v>
      </c>
      <c r="I43" s="47">
        <f>I44</f>
        <v>0</v>
      </c>
      <c r="J43" s="88"/>
      <c r="K43" s="47">
        <f>K44</f>
        <v>0</v>
      </c>
      <c r="L43" s="46">
        <f>L44</f>
        <v>0</v>
      </c>
      <c r="M43" s="46">
        <f>M44</f>
        <v>0</v>
      </c>
      <c r="N43" s="46">
        <f>N44</f>
        <v>0</v>
      </c>
      <c r="O43" s="94"/>
      <c r="P43" s="94"/>
    </row>
    <row r="44" spans="1:17" ht="31.5" x14ac:dyDescent="0.2">
      <c r="A44" s="42"/>
      <c r="B44" s="43" t="s">
        <v>35</v>
      </c>
      <c r="C44" s="44" t="s">
        <v>68</v>
      </c>
      <c r="D44" s="45" t="s">
        <v>36</v>
      </c>
      <c r="E44" s="105"/>
      <c r="F44" s="46"/>
      <c r="G44" s="46"/>
      <c r="H44" s="46"/>
      <c r="I44" s="47">
        <v>0</v>
      </c>
      <c r="J44" s="88"/>
      <c r="K44" s="47">
        <v>0</v>
      </c>
      <c r="L44" s="46"/>
      <c r="M44" s="46"/>
      <c r="N44" s="46"/>
      <c r="O44" s="94"/>
      <c r="P44" s="94"/>
    </row>
    <row r="45" spans="1:17" ht="47.25" x14ac:dyDescent="0.2">
      <c r="A45" s="49"/>
      <c r="B45" s="50" t="s">
        <v>69</v>
      </c>
      <c r="C45" s="51" t="s">
        <v>70</v>
      </c>
      <c r="D45" s="52" t="s">
        <v>26</v>
      </c>
      <c r="E45" s="106"/>
      <c r="F45" s="53">
        <f t="shared" ref="F45:N45" si="5">F46+F59</f>
        <v>126093.4</v>
      </c>
      <c r="G45" s="53">
        <f t="shared" si="5"/>
        <v>0</v>
      </c>
      <c r="H45" s="53">
        <f t="shared" si="5"/>
        <v>126093.4</v>
      </c>
      <c r="I45" s="54">
        <f t="shared" si="5"/>
        <v>5408.7</v>
      </c>
      <c r="J45" s="53">
        <f t="shared" si="5"/>
        <v>0</v>
      </c>
      <c r="K45" s="54">
        <f t="shared" si="5"/>
        <v>5408.7</v>
      </c>
      <c r="L45" s="53">
        <f t="shared" si="5"/>
        <v>131502.1</v>
      </c>
      <c r="M45" s="53">
        <f t="shared" si="5"/>
        <v>0</v>
      </c>
      <c r="N45" s="53">
        <f t="shared" si="5"/>
        <v>131502.1</v>
      </c>
      <c r="O45" s="95"/>
      <c r="P45" s="95"/>
      <c r="Q45" s="55"/>
    </row>
    <row r="46" spans="1:17" ht="36.6" customHeight="1" x14ac:dyDescent="0.2">
      <c r="A46" s="42"/>
      <c r="B46" s="43" t="s">
        <v>71</v>
      </c>
      <c r="C46" s="44" t="s">
        <v>72</v>
      </c>
      <c r="D46" s="45" t="s">
        <v>26</v>
      </c>
      <c r="E46" s="105"/>
      <c r="F46" s="46">
        <f>F47+F52+F54+F56</f>
        <v>116410.2</v>
      </c>
      <c r="G46" s="46">
        <f>G47+G52+G54+G56</f>
        <v>0</v>
      </c>
      <c r="H46" s="46">
        <f>H47+H52+H54+H56</f>
        <v>116410.2</v>
      </c>
      <c r="I46" s="46">
        <f>I47+I52+I54+I56</f>
        <v>5408.7</v>
      </c>
      <c r="J46" s="46"/>
      <c r="K46" s="46">
        <f>K47+K52+K54+K56</f>
        <v>5408.7</v>
      </c>
      <c r="L46" s="46">
        <f>L47+L52+L54+L56</f>
        <v>121818.9</v>
      </c>
      <c r="M46" s="46">
        <f>M47+M52+M54+M56</f>
        <v>0</v>
      </c>
      <c r="N46" s="46">
        <f>N47+N52+N54+N56</f>
        <v>121818.9</v>
      </c>
      <c r="O46" s="94"/>
      <c r="P46" s="94"/>
      <c r="Q46" s="48"/>
    </row>
    <row r="47" spans="1:17" ht="31.5" x14ac:dyDescent="0.2">
      <c r="A47" s="42"/>
      <c r="B47" s="43" t="s">
        <v>39</v>
      </c>
      <c r="C47" s="44" t="s">
        <v>73</v>
      </c>
      <c r="D47" s="45" t="s">
        <v>26</v>
      </c>
      <c r="E47" s="105"/>
      <c r="F47" s="46">
        <f>F48+F49+F50+F51</f>
        <v>115274.6</v>
      </c>
      <c r="G47" s="46">
        <f>G48+G49+G50+G51</f>
        <v>0</v>
      </c>
      <c r="H47" s="46">
        <f>H48+H49+H50+H51</f>
        <v>115274.6</v>
      </c>
      <c r="I47" s="47">
        <f>I48+I49+I50+I51</f>
        <v>0</v>
      </c>
      <c r="J47" s="88"/>
      <c r="K47" s="47">
        <f>K48+K49+K50+K51</f>
        <v>0</v>
      </c>
      <c r="L47" s="46">
        <f>L48+L49+L50+L51</f>
        <v>115274.6</v>
      </c>
      <c r="M47" s="46">
        <f>M48+M49+M50+M51</f>
        <v>0</v>
      </c>
      <c r="N47" s="46">
        <f>N48+N49+N50+N51</f>
        <v>115274.6</v>
      </c>
      <c r="O47" s="94"/>
      <c r="P47" s="94"/>
    </row>
    <row r="48" spans="1:17" ht="64.150000000000006" customHeight="1" x14ac:dyDescent="0.2">
      <c r="A48" s="42"/>
      <c r="B48" s="43" t="s">
        <v>31</v>
      </c>
      <c r="C48" s="44" t="s">
        <v>73</v>
      </c>
      <c r="D48" s="45" t="s">
        <v>32</v>
      </c>
      <c r="E48" s="105"/>
      <c r="F48" s="56">
        <f>20290.4+351.1</f>
        <v>20641.5</v>
      </c>
      <c r="G48" s="56"/>
      <c r="H48" s="56">
        <f>20290.4+351.1</f>
        <v>20641.5</v>
      </c>
      <c r="I48" s="47">
        <v>0</v>
      </c>
      <c r="J48" s="111"/>
      <c r="K48" s="47">
        <v>0</v>
      </c>
      <c r="L48" s="56">
        <f>20290.4+351.1</f>
        <v>20641.5</v>
      </c>
      <c r="M48" s="56"/>
      <c r="N48" s="56">
        <f>20290.4+351.1</f>
        <v>20641.5</v>
      </c>
      <c r="O48" s="94"/>
      <c r="P48" s="94"/>
    </row>
    <row r="49" spans="1:16" ht="31.5" x14ac:dyDescent="0.2">
      <c r="A49" s="42"/>
      <c r="B49" s="43" t="s">
        <v>35</v>
      </c>
      <c r="C49" s="44" t="s">
        <v>73</v>
      </c>
      <c r="D49" s="45" t="s">
        <v>36</v>
      </c>
      <c r="E49" s="105"/>
      <c r="F49" s="46">
        <v>6740.3</v>
      </c>
      <c r="G49" s="46"/>
      <c r="H49" s="46">
        <v>6740.3</v>
      </c>
      <c r="I49" s="47">
        <v>0</v>
      </c>
      <c r="J49" s="88"/>
      <c r="K49" s="47">
        <v>0</v>
      </c>
      <c r="L49" s="46">
        <v>6740.3</v>
      </c>
      <c r="M49" s="46"/>
      <c r="N49" s="46">
        <v>6740.3</v>
      </c>
      <c r="O49" s="94"/>
      <c r="P49" s="94"/>
    </row>
    <row r="50" spans="1:16" ht="31.5" x14ac:dyDescent="0.2">
      <c r="A50" s="42"/>
      <c r="B50" s="43" t="s">
        <v>74</v>
      </c>
      <c r="C50" s="44" t="s">
        <v>73</v>
      </c>
      <c r="D50" s="45" t="s">
        <v>75</v>
      </c>
      <c r="E50" s="105"/>
      <c r="F50" s="56">
        <f>86661+1213.2</f>
        <v>87874.2</v>
      </c>
      <c r="G50" s="56"/>
      <c r="H50" s="56">
        <f>86661+1213.2</f>
        <v>87874.2</v>
      </c>
      <c r="I50" s="47">
        <v>0</v>
      </c>
      <c r="J50" s="111"/>
      <c r="K50" s="47">
        <v>0</v>
      </c>
      <c r="L50" s="56">
        <f>86661+1213.2</f>
        <v>87874.2</v>
      </c>
      <c r="M50" s="56"/>
      <c r="N50" s="56">
        <f>86661+1213.2</f>
        <v>87874.2</v>
      </c>
      <c r="O50" s="94"/>
      <c r="P50" s="94"/>
    </row>
    <row r="51" spans="1:16" ht="15.75" x14ac:dyDescent="0.2">
      <c r="A51" s="42"/>
      <c r="B51" s="43" t="s">
        <v>41</v>
      </c>
      <c r="C51" s="44" t="s">
        <v>73</v>
      </c>
      <c r="D51" s="45" t="s">
        <v>42</v>
      </c>
      <c r="E51" s="105"/>
      <c r="F51" s="46">
        <v>18.600000000000001</v>
      </c>
      <c r="G51" s="46"/>
      <c r="H51" s="46">
        <v>18.600000000000001</v>
      </c>
      <c r="I51" s="47">
        <v>0</v>
      </c>
      <c r="J51" s="88"/>
      <c r="K51" s="47">
        <v>0</v>
      </c>
      <c r="L51" s="46">
        <v>18.600000000000001</v>
      </c>
      <c r="M51" s="46"/>
      <c r="N51" s="46">
        <v>18.600000000000001</v>
      </c>
      <c r="O51" s="94"/>
      <c r="P51" s="94"/>
    </row>
    <row r="52" spans="1:16" ht="36" customHeight="1" x14ac:dyDescent="0.2">
      <c r="A52" s="42"/>
      <c r="B52" s="43" t="s">
        <v>78</v>
      </c>
      <c r="C52" s="44" t="s">
        <v>79</v>
      </c>
      <c r="D52" s="45" t="s">
        <v>26</v>
      </c>
      <c r="E52" s="105"/>
      <c r="F52" s="46">
        <f>F53</f>
        <v>255</v>
      </c>
      <c r="G52" s="46">
        <f>G53</f>
        <v>0</v>
      </c>
      <c r="H52" s="46">
        <f>H53</f>
        <v>255</v>
      </c>
      <c r="I52" s="47">
        <f>I53</f>
        <v>0</v>
      </c>
      <c r="J52" s="88"/>
      <c r="K52" s="47">
        <f>K53</f>
        <v>0</v>
      </c>
      <c r="L52" s="46">
        <f>L53</f>
        <v>255</v>
      </c>
      <c r="M52" s="46">
        <f>M53</f>
        <v>0</v>
      </c>
      <c r="N52" s="46">
        <f>N53</f>
        <v>255</v>
      </c>
      <c r="O52" s="94"/>
      <c r="P52" s="94"/>
    </row>
    <row r="53" spans="1:16" ht="31.5" x14ac:dyDescent="0.2">
      <c r="A53" s="42"/>
      <c r="B53" s="43" t="s">
        <v>74</v>
      </c>
      <c r="C53" s="44" t="s">
        <v>79</v>
      </c>
      <c r="D53" s="45" t="s">
        <v>75</v>
      </c>
      <c r="E53" s="105"/>
      <c r="F53" s="46">
        <v>255</v>
      </c>
      <c r="G53" s="46"/>
      <c r="H53" s="46">
        <v>255</v>
      </c>
      <c r="I53" s="47">
        <v>0</v>
      </c>
      <c r="J53" s="88"/>
      <c r="K53" s="47">
        <v>0</v>
      </c>
      <c r="L53" s="46">
        <v>255</v>
      </c>
      <c r="M53" s="46"/>
      <c r="N53" s="46">
        <v>255</v>
      </c>
      <c r="O53" s="94"/>
      <c r="P53" s="94"/>
    </row>
    <row r="54" spans="1:16" ht="33" customHeight="1" x14ac:dyDescent="0.2">
      <c r="A54" s="42"/>
      <c r="B54" s="43" t="s">
        <v>80</v>
      </c>
      <c r="C54" s="44" t="s">
        <v>81</v>
      </c>
      <c r="D54" s="45" t="s">
        <v>26</v>
      </c>
      <c r="E54" s="105"/>
      <c r="F54" s="46">
        <f>F55</f>
        <v>626.20000000000005</v>
      </c>
      <c r="G54" s="46">
        <f>G55</f>
        <v>0</v>
      </c>
      <c r="H54" s="46">
        <f>H55</f>
        <v>626.20000000000005</v>
      </c>
      <c r="I54" s="47">
        <f>I55</f>
        <v>3846.2</v>
      </c>
      <c r="J54" s="88"/>
      <c r="K54" s="47">
        <f>K55</f>
        <v>3846.2</v>
      </c>
      <c r="L54" s="46">
        <f>L55</f>
        <v>4472.3999999999996</v>
      </c>
      <c r="M54" s="46">
        <f>M55</f>
        <v>0</v>
      </c>
      <c r="N54" s="46">
        <f>N55</f>
        <v>4472.3999999999996</v>
      </c>
      <c r="O54" s="94"/>
      <c r="P54" s="94"/>
    </row>
    <row r="55" spans="1:16" ht="31.5" x14ac:dyDescent="0.2">
      <c r="A55" s="42"/>
      <c r="B55" s="43" t="s">
        <v>74</v>
      </c>
      <c r="C55" s="44" t="s">
        <v>81</v>
      </c>
      <c r="D55" s="45" t="s">
        <v>75</v>
      </c>
      <c r="E55" s="105"/>
      <c r="F55" s="46">
        <v>626.20000000000005</v>
      </c>
      <c r="G55" s="46"/>
      <c r="H55" s="46">
        <v>626.20000000000005</v>
      </c>
      <c r="I55" s="47">
        <v>3846.2</v>
      </c>
      <c r="J55" s="88"/>
      <c r="K55" s="47">
        <v>3846.2</v>
      </c>
      <c r="L55" s="46">
        <f>626.2+I55</f>
        <v>4472.3999999999996</v>
      </c>
      <c r="M55" s="46"/>
      <c r="N55" s="46">
        <f>626.2+K55</f>
        <v>4472.3999999999996</v>
      </c>
      <c r="O55" s="94"/>
      <c r="P55" s="94"/>
    </row>
    <row r="56" spans="1:16" ht="15.75" x14ac:dyDescent="0.2">
      <c r="A56" s="42"/>
      <c r="B56" s="43" t="s">
        <v>82</v>
      </c>
      <c r="C56" s="44" t="s">
        <v>83</v>
      </c>
      <c r="D56" s="45"/>
      <c r="E56" s="105"/>
      <c r="F56" s="46">
        <v>254.4</v>
      </c>
      <c r="G56" s="46"/>
      <c r="H56" s="46">
        <v>254.4</v>
      </c>
      <c r="I56" s="47">
        <v>1562.5</v>
      </c>
      <c r="J56" s="88"/>
      <c r="K56" s="47">
        <v>1562.5</v>
      </c>
      <c r="L56" s="46">
        <f>254.4+I56</f>
        <v>1816.9</v>
      </c>
      <c r="M56" s="46"/>
      <c r="N56" s="46">
        <f>254.4+K56</f>
        <v>1816.9</v>
      </c>
      <c r="O56" s="94"/>
      <c r="P56" s="94"/>
    </row>
    <row r="57" spans="1:16" ht="21" customHeight="1" x14ac:dyDescent="0.2">
      <c r="A57" s="42"/>
      <c r="B57" s="43" t="s">
        <v>84</v>
      </c>
      <c r="C57" s="44" t="s">
        <v>85</v>
      </c>
      <c r="D57" s="45"/>
      <c r="E57" s="105"/>
      <c r="F57" s="46">
        <v>254.4</v>
      </c>
      <c r="G57" s="46"/>
      <c r="H57" s="46">
        <v>254.4</v>
      </c>
      <c r="I57" s="47">
        <v>1562.5</v>
      </c>
      <c r="J57" s="88"/>
      <c r="K57" s="47">
        <v>1562.5</v>
      </c>
      <c r="L57" s="46">
        <f>254.4+I57</f>
        <v>1816.9</v>
      </c>
      <c r="M57" s="46"/>
      <c r="N57" s="46">
        <f>254.4+K57</f>
        <v>1816.9</v>
      </c>
      <c r="O57" s="94"/>
      <c r="P57" s="94"/>
    </row>
    <row r="58" spans="1:16" ht="31.5" x14ac:dyDescent="0.2">
      <c r="A58" s="42"/>
      <c r="B58" s="43" t="s">
        <v>74</v>
      </c>
      <c r="C58" s="44" t="s">
        <v>83</v>
      </c>
      <c r="D58" s="45" t="s">
        <v>75</v>
      </c>
      <c r="E58" s="105"/>
      <c r="F58" s="46">
        <v>254.4</v>
      </c>
      <c r="G58" s="46"/>
      <c r="H58" s="46">
        <v>254.4</v>
      </c>
      <c r="I58" s="47">
        <v>1562.5</v>
      </c>
      <c r="J58" s="88"/>
      <c r="K58" s="47">
        <v>1562.5</v>
      </c>
      <c r="L58" s="46">
        <f>254.4+I58</f>
        <v>1816.9</v>
      </c>
      <c r="M58" s="46"/>
      <c r="N58" s="46">
        <f>254.4+K58</f>
        <v>1816.9</v>
      </c>
      <c r="O58" s="94"/>
      <c r="P58" s="94"/>
    </row>
    <row r="59" spans="1:16" ht="36" customHeight="1" x14ac:dyDescent="0.2">
      <c r="A59" s="42"/>
      <c r="B59" s="43" t="s">
        <v>86</v>
      </c>
      <c r="C59" s="44" t="s">
        <v>87</v>
      </c>
      <c r="D59" s="45" t="s">
        <v>26</v>
      </c>
      <c r="E59" s="105"/>
      <c r="F59" s="46">
        <f>F60</f>
        <v>9683.1999999999989</v>
      </c>
      <c r="G59" s="46">
        <f>G60</f>
        <v>0</v>
      </c>
      <c r="H59" s="46">
        <f>H60</f>
        <v>9683.1999999999989</v>
      </c>
      <c r="I59" s="47">
        <f>I60</f>
        <v>0</v>
      </c>
      <c r="J59" s="88"/>
      <c r="K59" s="47">
        <f>K60</f>
        <v>0</v>
      </c>
      <c r="L59" s="46">
        <f>L60</f>
        <v>9683.1999999999989</v>
      </c>
      <c r="M59" s="46">
        <f>M60</f>
        <v>0</v>
      </c>
      <c r="N59" s="46">
        <f>N60</f>
        <v>9683.1999999999989</v>
      </c>
      <c r="O59" s="94"/>
      <c r="P59" s="94"/>
    </row>
    <row r="60" spans="1:16" ht="31.5" x14ac:dyDescent="0.2">
      <c r="A60" s="42"/>
      <c r="B60" s="43" t="s">
        <v>39</v>
      </c>
      <c r="C60" s="44" t="s">
        <v>88</v>
      </c>
      <c r="D60" s="45" t="s">
        <v>26</v>
      </c>
      <c r="E60" s="105"/>
      <c r="F60" s="46">
        <f>F61+F62+F63</f>
        <v>9683.1999999999989</v>
      </c>
      <c r="G60" s="46">
        <f>G61+G62+G63</f>
        <v>0</v>
      </c>
      <c r="H60" s="46">
        <f>H61+H62+H63</f>
        <v>9683.1999999999989</v>
      </c>
      <c r="I60" s="47">
        <f>I61+I62+I63</f>
        <v>0</v>
      </c>
      <c r="J60" s="88"/>
      <c r="K60" s="47">
        <f>K61+K62+K63</f>
        <v>0</v>
      </c>
      <c r="L60" s="46">
        <f>L61+L62+L63</f>
        <v>9683.1999999999989</v>
      </c>
      <c r="M60" s="46">
        <f>M61+M62+M63</f>
        <v>0</v>
      </c>
      <c r="N60" s="46">
        <f>N61+N62+N63</f>
        <v>9683.1999999999989</v>
      </c>
      <c r="O60" s="94"/>
      <c r="P60" s="94"/>
    </row>
    <row r="61" spans="1:16" ht="70.150000000000006" customHeight="1" x14ac:dyDescent="0.2">
      <c r="A61" s="42"/>
      <c r="B61" s="43" t="s">
        <v>31</v>
      </c>
      <c r="C61" s="44" t="s">
        <v>88</v>
      </c>
      <c r="D61" s="45" t="s">
        <v>32</v>
      </c>
      <c r="E61" s="105"/>
      <c r="F61" s="46">
        <v>8275.2999999999993</v>
      </c>
      <c r="G61" s="46"/>
      <c r="H61" s="46">
        <v>8275.2999999999993</v>
      </c>
      <c r="I61" s="47">
        <v>0</v>
      </c>
      <c r="J61" s="88"/>
      <c r="K61" s="47">
        <v>0</v>
      </c>
      <c r="L61" s="46">
        <v>8275.2999999999993</v>
      </c>
      <c r="M61" s="46"/>
      <c r="N61" s="46">
        <v>8275.2999999999993</v>
      </c>
      <c r="O61" s="94"/>
      <c r="P61" s="94"/>
    </row>
    <row r="62" spans="1:16" ht="31.5" x14ac:dyDescent="0.2">
      <c r="A62" s="42"/>
      <c r="B62" s="43" t="s">
        <v>35</v>
      </c>
      <c r="C62" s="44" t="s">
        <v>88</v>
      </c>
      <c r="D62" s="45" t="s">
        <v>36</v>
      </c>
      <c r="E62" s="105"/>
      <c r="F62" s="46">
        <v>1406.8</v>
      </c>
      <c r="G62" s="46"/>
      <c r="H62" s="46">
        <v>1406.8</v>
      </c>
      <c r="I62" s="47">
        <v>0</v>
      </c>
      <c r="J62" s="88"/>
      <c r="K62" s="47">
        <v>0</v>
      </c>
      <c r="L62" s="46">
        <v>1406.8</v>
      </c>
      <c r="M62" s="46"/>
      <c r="N62" s="46">
        <v>1406.8</v>
      </c>
      <c r="O62" s="94"/>
      <c r="P62" s="94"/>
    </row>
    <row r="63" spans="1:16" ht="15.75" x14ac:dyDescent="0.2">
      <c r="A63" s="42"/>
      <c r="B63" s="43" t="s">
        <v>41</v>
      </c>
      <c r="C63" s="44" t="s">
        <v>88</v>
      </c>
      <c r="D63" s="45" t="s">
        <v>42</v>
      </c>
      <c r="E63" s="105"/>
      <c r="F63" s="46">
        <v>1.1000000000000001</v>
      </c>
      <c r="G63" s="46"/>
      <c r="H63" s="46">
        <v>1.1000000000000001</v>
      </c>
      <c r="I63" s="47">
        <v>0</v>
      </c>
      <c r="J63" s="88"/>
      <c r="K63" s="47">
        <v>0</v>
      </c>
      <c r="L63" s="46">
        <v>1.1000000000000001</v>
      </c>
      <c r="M63" s="46"/>
      <c r="N63" s="46">
        <v>1.1000000000000001</v>
      </c>
      <c r="O63" s="94"/>
      <c r="P63" s="94"/>
    </row>
    <row r="64" spans="1:16" ht="31.5" x14ac:dyDescent="0.2">
      <c r="A64" s="49"/>
      <c r="B64" s="50" t="s">
        <v>89</v>
      </c>
      <c r="C64" s="51" t="s">
        <v>90</v>
      </c>
      <c r="D64" s="52" t="s">
        <v>26</v>
      </c>
      <c r="E64" s="106"/>
      <c r="F64" s="53">
        <f t="shared" ref="F64:N65" si="6">F65</f>
        <v>1865.9</v>
      </c>
      <c r="G64" s="53">
        <f t="shared" si="6"/>
        <v>0</v>
      </c>
      <c r="H64" s="53">
        <f t="shared" si="6"/>
        <v>1865.9</v>
      </c>
      <c r="I64" s="54">
        <f t="shared" si="6"/>
        <v>0</v>
      </c>
      <c r="J64" s="53">
        <f t="shared" si="6"/>
        <v>0</v>
      </c>
      <c r="K64" s="54">
        <f t="shared" si="6"/>
        <v>0</v>
      </c>
      <c r="L64" s="53">
        <f t="shared" si="6"/>
        <v>1865.9</v>
      </c>
      <c r="M64" s="53">
        <f t="shared" si="6"/>
        <v>0</v>
      </c>
      <c r="N64" s="53">
        <f t="shared" si="6"/>
        <v>1865.9</v>
      </c>
      <c r="O64" s="95"/>
      <c r="P64" s="95"/>
    </row>
    <row r="65" spans="1:16" ht="31.5" x14ac:dyDescent="0.2">
      <c r="A65" s="42"/>
      <c r="B65" s="43" t="s">
        <v>91</v>
      </c>
      <c r="C65" s="44" t="s">
        <v>92</v>
      </c>
      <c r="D65" s="45" t="s">
        <v>26</v>
      </c>
      <c r="E65" s="105"/>
      <c r="F65" s="46">
        <f t="shared" si="6"/>
        <v>1865.9</v>
      </c>
      <c r="G65" s="46">
        <f t="shared" si="6"/>
        <v>0</v>
      </c>
      <c r="H65" s="46">
        <f t="shared" si="6"/>
        <v>1865.9</v>
      </c>
      <c r="I65" s="47">
        <f t="shared" si="6"/>
        <v>0</v>
      </c>
      <c r="J65" s="88"/>
      <c r="K65" s="47">
        <f t="shared" si="6"/>
        <v>0</v>
      </c>
      <c r="L65" s="46">
        <f t="shared" si="6"/>
        <v>1865.9</v>
      </c>
      <c r="M65" s="46">
        <f t="shared" si="6"/>
        <v>0</v>
      </c>
      <c r="N65" s="46">
        <f t="shared" si="6"/>
        <v>1865.9</v>
      </c>
      <c r="O65" s="94"/>
      <c r="P65" s="94"/>
    </row>
    <row r="66" spans="1:16" ht="31.5" x14ac:dyDescent="0.2">
      <c r="A66" s="42"/>
      <c r="B66" s="43" t="s">
        <v>93</v>
      </c>
      <c r="C66" s="44" t="s">
        <v>94</v>
      </c>
      <c r="D66" s="45" t="s">
        <v>26</v>
      </c>
      <c r="E66" s="105"/>
      <c r="F66" s="46">
        <f>F67+F68</f>
        <v>1865.9</v>
      </c>
      <c r="G66" s="46">
        <f>G67+G68</f>
        <v>0</v>
      </c>
      <c r="H66" s="46">
        <f>H67+H68</f>
        <v>1865.9</v>
      </c>
      <c r="I66" s="47">
        <f>I67+I68</f>
        <v>0</v>
      </c>
      <c r="J66" s="88"/>
      <c r="K66" s="47">
        <f>K67+K68</f>
        <v>0</v>
      </c>
      <c r="L66" s="46">
        <f>L67+L68</f>
        <v>1865.9</v>
      </c>
      <c r="M66" s="46">
        <f>M67+M68</f>
        <v>0</v>
      </c>
      <c r="N66" s="46">
        <f>N67+N68</f>
        <v>1865.9</v>
      </c>
      <c r="O66" s="94"/>
      <c r="P66" s="94"/>
    </row>
    <row r="67" spans="1:16" ht="66" customHeight="1" x14ac:dyDescent="0.2">
      <c r="A67" s="42"/>
      <c r="B67" s="43" t="s">
        <v>31</v>
      </c>
      <c r="C67" s="44" t="s">
        <v>94</v>
      </c>
      <c r="D67" s="45" t="s">
        <v>32</v>
      </c>
      <c r="E67" s="105"/>
      <c r="F67" s="46">
        <v>1855.9</v>
      </c>
      <c r="G67" s="46"/>
      <c r="H67" s="46">
        <v>1855.9</v>
      </c>
      <c r="I67" s="47">
        <v>0</v>
      </c>
      <c r="J67" s="88"/>
      <c r="K67" s="47">
        <v>0</v>
      </c>
      <c r="L67" s="46">
        <v>1855.9</v>
      </c>
      <c r="M67" s="46"/>
      <c r="N67" s="46">
        <v>1855.9</v>
      </c>
      <c r="O67" s="94"/>
      <c r="P67" s="94"/>
    </row>
    <row r="68" spans="1:16" ht="31.5" x14ac:dyDescent="0.2">
      <c r="A68" s="42"/>
      <c r="B68" s="43" t="s">
        <v>35</v>
      </c>
      <c r="C68" s="44" t="s">
        <v>94</v>
      </c>
      <c r="D68" s="45" t="s">
        <v>36</v>
      </c>
      <c r="E68" s="105"/>
      <c r="F68" s="46">
        <v>10</v>
      </c>
      <c r="G68" s="46"/>
      <c r="H68" s="46">
        <v>10</v>
      </c>
      <c r="I68" s="47">
        <v>0</v>
      </c>
      <c r="J68" s="88"/>
      <c r="K68" s="47">
        <v>0</v>
      </c>
      <c r="L68" s="46">
        <v>10</v>
      </c>
      <c r="M68" s="46"/>
      <c r="N68" s="46">
        <v>10</v>
      </c>
      <c r="O68" s="94"/>
      <c r="P68" s="94"/>
    </row>
    <row r="69" spans="1:16" ht="31.5" x14ac:dyDescent="0.2">
      <c r="A69" s="19" t="s">
        <v>95</v>
      </c>
      <c r="B69" s="20" t="s">
        <v>96</v>
      </c>
      <c r="C69" s="21" t="s">
        <v>97</v>
      </c>
      <c r="D69" s="22" t="s">
        <v>26</v>
      </c>
      <c r="E69" s="104"/>
      <c r="F69" s="23">
        <f t="shared" ref="F69:N69" si="7">F70+F77</f>
        <v>8816</v>
      </c>
      <c r="G69" s="23">
        <f t="shared" si="7"/>
        <v>0</v>
      </c>
      <c r="H69" s="23">
        <f t="shared" si="7"/>
        <v>8816</v>
      </c>
      <c r="I69" s="24">
        <f t="shared" si="7"/>
        <v>0</v>
      </c>
      <c r="J69" s="23">
        <f t="shared" si="7"/>
        <v>0</v>
      </c>
      <c r="K69" s="24">
        <f t="shared" si="7"/>
        <v>0</v>
      </c>
      <c r="L69" s="23">
        <f t="shared" si="7"/>
        <v>8816</v>
      </c>
      <c r="M69" s="23">
        <f t="shared" si="7"/>
        <v>0</v>
      </c>
      <c r="N69" s="23">
        <f t="shared" si="7"/>
        <v>8816</v>
      </c>
      <c r="O69" s="93"/>
      <c r="P69" s="93"/>
    </row>
    <row r="70" spans="1:16" ht="31.5" x14ac:dyDescent="0.2">
      <c r="A70" s="49"/>
      <c r="B70" s="50" t="s">
        <v>98</v>
      </c>
      <c r="C70" s="51" t="s">
        <v>99</v>
      </c>
      <c r="D70" s="52" t="s">
        <v>26</v>
      </c>
      <c r="E70" s="106"/>
      <c r="F70" s="53">
        <f t="shared" ref="F70:N70" si="8">F71+F74</f>
        <v>8536</v>
      </c>
      <c r="G70" s="53">
        <f t="shared" si="8"/>
        <v>0</v>
      </c>
      <c r="H70" s="53">
        <f t="shared" si="8"/>
        <v>8536</v>
      </c>
      <c r="I70" s="54">
        <f t="shared" si="8"/>
        <v>0</v>
      </c>
      <c r="J70" s="53">
        <f t="shared" si="8"/>
        <v>0</v>
      </c>
      <c r="K70" s="54">
        <f t="shared" si="8"/>
        <v>0</v>
      </c>
      <c r="L70" s="53">
        <f t="shared" si="8"/>
        <v>8536</v>
      </c>
      <c r="M70" s="53">
        <f t="shared" si="8"/>
        <v>0</v>
      </c>
      <c r="N70" s="53">
        <f t="shared" si="8"/>
        <v>8536</v>
      </c>
      <c r="O70" s="95"/>
      <c r="P70" s="95"/>
    </row>
    <row r="71" spans="1:16" ht="31.5" x14ac:dyDescent="0.2">
      <c r="A71" s="42"/>
      <c r="B71" s="43" t="s">
        <v>100</v>
      </c>
      <c r="C71" s="44" t="s">
        <v>101</v>
      </c>
      <c r="D71" s="45" t="s">
        <v>26</v>
      </c>
      <c r="E71" s="105"/>
      <c r="F71" s="46">
        <f t="shared" ref="F71:N72" si="9">F72</f>
        <v>4496</v>
      </c>
      <c r="G71" s="46">
        <f t="shared" si="9"/>
        <v>0</v>
      </c>
      <c r="H71" s="46">
        <f t="shared" si="9"/>
        <v>4496</v>
      </c>
      <c r="I71" s="47">
        <f t="shared" si="9"/>
        <v>0</v>
      </c>
      <c r="J71" s="88"/>
      <c r="K71" s="47">
        <f t="shared" si="9"/>
        <v>0</v>
      </c>
      <c r="L71" s="46">
        <f t="shared" si="9"/>
        <v>4496</v>
      </c>
      <c r="M71" s="46">
        <f t="shared" si="9"/>
        <v>0</v>
      </c>
      <c r="N71" s="46">
        <f t="shared" si="9"/>
        <v>4496</v>
      </c>
      <c r="O71" s="94"/>
      <c r="P71" s="94"/>
    </row>
    <row r="72" spans="1:16" ht="15.75" x14ac:dyDescent="0.2">
      <c r="A72" s="42"/>
      <c r="B72" s="43" t="s">
        <v>102</v>
      </c>
      <c r="C72" s="44" t="s">
        <v>103</v>
      </c>
      <c r="D72" s="45" t="s">
        <v>26</v>
      </c>
      <c r="E72" s="105"/>
      <c r="F72" s="46">
        <f t="shared" si="9"/>
        <v>4496</v>
      </c>
      <c r="G72" s="46">
        <f t="shared" si="9"/>
        <v>0</v>
      </c>
      <c r="H72" s="46">
        <f t="shared" si="9"/>
        <v>4496</v>
      </c>
      <c r="I72" s="47">
        <f t="shared" si="9"/>
        <v>0</v>
      </c>
      <c r="J72" s="88"/>
      <c r="K72" s="47">
        <f t="shared" si="9"/>
        <v>0</v>
      </c>
      <c r="L72" s="46">
        <f t="shared" si="9"/>
        <v>4496</v>
      </c>
      <c r="M72" s="46">
        <f t="shared" si="9"/>
        <v>0</v>
      </c>
      <c r="N72" s="46">
        <f t="shared" si="9"/>
        <v>4496</v>
      </c>
      <c r="O72" s="94"/>
      <c r="P72" s="94"/>
    </row>
    <row r="73" spans="1:16" ht="15.75" x14ac:dyDescent="0.2">
      <c r="A73" s="42"/>
      <c r="B73" s="43" t="s">
        <v>54</v>
      </c>
      <c r="C73" s="44" t="s">
        <v>103</v>
      </c>
      <c r="D73" s="45" t="s">
        <v>55</v>
      </c>
      <c r="E73" s="105"/>
      <c r="F73" s="46">
        <v>4496</v>
      </c>
      <c r="G73" s="46"/>
      <c r="H73" s="46">
        <v>4496</v>
      </c>
      <c r="I73" s="47">
        <v>0</v>
      </c>
      <c r="J73" s="88"/>
      <c r="K73" s="47">
        <v>0</v>
      </c>
      <c r="L73" s="46">
        <v>4496</v>
      </c>
      <c r="M73" s="46"/>
      <c r="N73" s="46">
        <v>4496</v>
      </c>
      <c r="O73" s="94"/>
      <c r="P73" s="94"/>
    </row>
    <row r="74" spans="1:16" ht="36" customHeight="1" x14ac:dyDescent="0.2">
      <c r="A74" s="42"/>
      <c r="B74" s="43" t="s">
        <v>104</v>
      </c>
      <c r="C74" s="44" t="s">
        <v>105</v>
      </c>
      <c r="D74" s="45" t="s">
        <v>26</v>
      </c>
      <c r="E74" s="105"/>
      <c r="F74" s="46">
        <f t="shared" ref="F74:N75" si="10">F75</f>
        <v>4040</v>
      </c>
      <c r="G74" s="46">
        <f t="shared" si="10"/>
        <v>0</v>
      </c>
      <c r="H74" s="46">
        <f t="shared" si="10"/>
        <v>4040</v>
      </c>
      <c r="I74" s="47">
        <f t="shared" si="10"/>
        <v>0</v>
      </c>
      <c r="J74" s="88"/>
      <c r="K74" s="47">
        <f t="shared" si="10"/>
        <v>0</v>
      </c>
      <c r="L74" s="46">
        <f t="shared" si="10"/>
        <v>4040</v>
      </c>
      <c r="M74" s="46">
        <f t="shared" si="10"/>
        <v>0</v>
      </c>
      <c r="N74" s="46">
        <f t="shared" si="10"/>
        <v>4040</v>
      </c>
      <c r="O74" s="94"/>
      <c r="P74" s="94"/>
    </row>
    <row r="75" spans="1:16" ht="31.5" x14ac:dyDescent="0.2">
      <c r="A75" s="42"/>
      <c r="B75" s="43" t="s">
        <v>106</v>
      </c>
      <c r="C75" s="44" t="s">
        <v>107</v>
      </c>
      <c r="D75" s="45" t="s">
        <v>26</v>
      </c>
      <c r="E75" s="105"/>
      <c r="F75" s="46">
        <f t="shared" si="10"/>
        <v>4040</v>
      </c>
      <c r="G75" s="46">
        <f t="shared" si="10"/>
        <v>0</v>
      </c>
      <c r="H75" s="46">
        <f t="shared" si="10"/>
        <v>4040</v>
      </c>
      <c r="I75" s="47">
        <f t="shared" si="10"/>
        <v>0</v>
      </c>
      <c r="J75" s="88"/>
      <c r="K75" s="47">
        <f t="shared" si="10"/>
        <v>0</v>
      </c>
      <c r="L75" s="46">
        <f t="shared" si="10"/>
        <v>4040</v>
      </c>
      <c r="M75" s="46">
        <f t="shared" si="10"/>
        <v>0</v>
      </c>
      <c r="N75" s="46">
        <f t="shared" si="10"/>
        <v>4040</v>
      </c>
      <c r="O75" s="94"/>
      <c r="P75" s="94"/>
    </row>
    <row r="76" spans="1:16" ht="15.75" x14ac:dyDescent="0.2">
      <c r="A76" s="42"/>
      <c r="B76" s="43" t="s">
        <v>54</v>
      </c>
      <c r="C76" s="44" t="s">
        <v>107</v>
      </c>
      <c r="D76" s="45" t="s">
        <v>55</v>
      </c>
      <c r="E76" s="105"/>
      <c r="F76" s="46">
        <v>4040</v>
      </c>
      <c r="G76" s="46"/>
      <c r="H76" s="46">
        <v>4040</v>
      </c>
      <c r="I76" s="47">
        <v>0</v>
      </c>
      <c r="J76" s="88"/>
      <c r="K76" s="47">
        <v>0</v>
      </c>
      <c r="L76" s="46">
        <v>4040</v>
      </c>
      <c r="M76" s="46"/>
      <c r="N76" s="46">
        <v>4040</v>
      </c>
      <c r="O76" s="94"/>
      <c r="P76" s="94"/>
    </row>
    <row r="77" spans="1:16" ht="37.9" customHeight="1" x14ac:dyDescent="0.2">
      <c r="A77" s="49"/>
      <c r="B77" s="50" t="s">
        <v>108</v>
      </c>
      <c r="C77" s="51" t="s">
        <v>109</v>
      </c>
      <c r="D77" s="52" t="s">
        <v>26</v>
      </c>
      <c r="E77" s="106"/>
      <c r="F77" s="53">
        <f t="shared" ref="F77:H79" si="11">F78</f>
        <v>280</v>
      </c>
      <c r="G77" s="53">
        <f t="shared" si="11"/>
        <v>0</v>
      </c>
      <c r="H77" s="53">
        <f t="shared" si="11"/>
        <v>280</v>
      </c>
      <c r="I77" s="54">
        <f t="shared" ref="I77:K79" si="12">I78</f>
        <v>0</v>
      </c>
      <c r="J77" s="53">
        <f>J78</f>
        <v>0</v>
      </c>
      <c r="K77" s="54">
        <f t="shared" si="12"/>
        <v>0</v>
      </c>
      <c r="L77" s="53">
        <f t="shared" ref="L77:N79" si="13">L78</f>
        <v>280</v>
      </c>
      <c r="M77" s="53">
        <f t="shared" si="13"/>
        <v>0</v>
      </c>
      <c r="N77" s="53">
        <f t="shared" si="13"/>
        <v>280</v>
      </c>
      <c r="O77" s="95"/>
      <c r="P77" s="95"/>
    </row>
    <row r="78" spans="1:16" ht="64.150000000000006" customHeight="1" x14ac:dyDescent="0.2">
      <c r="A78" s="42"/>
      <c r="B78" s="43" t="s">
        <v>110</v>
      </c>
      <c r="C78" s="44" t="s">
        <v>111</v>
      </c>
      <c r="D78" s="45" t="s">
        <v>26</v>
      </c>
      <c r="E78" s="105"/>
      <c r="F78" s="46">
        <f t="shared" si="11"/>
        <v>280</v>
      </c>
      <c r="G78" s="46">
        <f t="shared" si="11"/>
        <v>0</v>
      </c>
      <c r="H78" s="46">
        <f t="shared" si="11"/>
        <v>280</v>
      </c>
      <c r="I78" s="47">
        <f t="shared" si="12"/>
        <v>0</v>
      </c>
      <c r="J78" s="88"/>
      <c r="K78" s="47">
        <f t="shared" si="12"/>
        <v>0</v>
      </c>
      <c r="L78" s="46">
        <f t="shared" si="13"/>
        <v>280</v>
      </c>
      <c r="M78" s="46">
        <f t="shared" si="13"/>
        <v>0</v>
      </c>
      <c r="N78" s="46">
        <f t="shared" si="13"/>
        <v>280</v>
      </c>
      <c r="O78" s="94"/>
      <c r="P78" s="94"/>
    </row>
    <row r="79" spans="1:16" ht="36.6" customHeight="1" x14ac:dyDescent="0.2">
      <c r="A79" s="42"/>
      <c r="B79" s="43" t="s">
        <v>112</v>
      </c>
      <c r="C79" s="44" t="s">
        <v>113</v>
      </c>
      <c r="D79" s="45" t="s">
        <v>26</v>
      </c>
      <c r="E79" s="105"/>
      <c r="F79" s="46">
        <f t="shared" si="11"/>
        <v>280</v>
      </c>
      <c r="G79" s="46">
        <f t="shared" si="11"/>
        <v>0</v>
      </c>
      <c r="H79" s="46">
        <f t="shared" si="11"/>
        <v>280</v>
      </c>
      <c r="I79" s="47">
        <f t="shared" si="12"/>
        <v>0</v>
      </c>
      <c r="J79" s="88"/>
      <c r="K79" s="47">
        <f t="shared" si="12"/>
        <v>0</v>
      </c>
      <c r="L79" s="46">
        <f t="shared" si="13"/>
        <v>280</v>
      </c>
      <c r="M79" s="46">
        <f t="shared" si="13"/>
        <v>0</v>
      </c>
      <c r="N79" s="46">
        <f t="shared" si="13"/>
        <v>280</v>
      </c>
      <c r="O79" s="94"/>
      <c r="P79" s="94"/>
    </row>
    <row r="80" spans="1:16" ht="31.5" x14ac:dyDescent="0.2">
      <c r="A80" s="42"/>
      <c r="B80" s="43" t="s">
        <v>74</v>
      </c>
      <c r="C80" s="44" t="s">
        <v>113</v>
      </c>
      <c r="D80" s="45" t="s">
        <v>75</v>
      </c>
      <c r="E80" s="105"/>
      <c r="F80" s="46">
        <v>280</v>
      </c>
      <c r="G80" s="46"/>
      <c r="H80" s="46">
        <v>280</v>
      </c>
      <c r="I80" s="47">
        <v>0</v>
      </c>
      <c r="J80" s="88"/>
      <c r="K80" s="47">
        <v>0</v>
      </c>
      <c r="L80" s="46">
        <v>280</v>
      </c>
      <c r="M80" s="46"/>
      <c r="N80" s="46">
        <v>280</v>
      </c>
      <c r="O80" s="94"/>
      <c r="P80" s="94"/>
    </row>
    <row r="81" spans="1:17" ht="47.25" x14ac:dyDescent="0.2">
      <c r="A81" s="19" t="s">
        <v>114</v>
      </c>
      <c r="B81" s="20" t="s">
        <v>115</v>
      </c>
      <c r="C81" s="21" t="s">
        <v>116</v>
      </c>
      <c r="D81" s="22" t="s">
        <v>26</v>
      </c>
      <c r="E81" s="104"/>
      <c r="F81" s="23">
        <f t="shared" ref="F81:N81" si="14">F82+F86+F96</f>
        <v>27807</v>
      </c>
      <c r="G81" s="23">
        <f t="shared" si="14"/>
        <v>0</v>
      </c>
      <c r="H81" s="23">
        <f t="shared" si="14"/>
        <v>27807</v>
      </c>
      <c r="I81" s="24">
        <f t="shared" si="14"/>
        <v>7971.1</v>
      </c>
      <c r="J81" s="23">
        <f t="shared" si="14"/>
        <v>0</v>
      </c>
      <c r="K81" s="24">
        <f t="shared" si="14"/>
        <v>34627.699999999997</v>
      </c>
      <c r="L81" s="23">
        <f t="shared" si="14"/>
        <v>35778.1</v>
      </c>
      <c r="M81" s="23">
        <f t="shared" si="14"/>
        <v>0</v>
      </c>
      <c r="N81" s="23">
        <f t="shared" si="14"/>
        <v>35778.1</v>
      </c>
      <c r="O81" s="93"/>
      <c r="P81" s="93"/>
      <c r="Q81" s="25"/>
    </row>
    <row r="82" spans="1:17" ht="33.6" customHeight="1" x14ac:dyDescent="0.2">
      <c r="A82" s="49"/>
      <c r="B82" s="50" t="s">
        <v>117</v>
      </c>
      <c r="C82" s="51" t="s">
        <v>118</v>
      </c>
      <c r="D82" s="52" t="s">
        <v>26</v>
      </c>
      <c r="E82" s="106"/>
      <c r="F82" s="53">
        <f t="shared" ref="F82:H84" si="15">F83</f>
        <v>419.6</v>
      </c>
      <c r="G82" s="53">
        <f t="shared" si="15"/>
        <v>0</v>
      </c>
      <c r="H82" s="53">
        <f t="shared" si="15"/>
        <v>419.6</v>
      </c>
      <c r="I82" s="54">
        <f t="shared" ref="I82:K84" si="16">I83</f>
        <v>7971.1</v>
      </c>
      <c r="J82" s="53">
        <f>J83</f>
        <v>0</v>
      </c>
      <c r="K82" s="54">
        <f t="shared" si="16"/>
        <v>7971.1</v>
      </c>
      <c r="L82" s="53">
        <f t="shared" ref="L82:N84" si="17">L83</f>
        <v>8390.7000000000007</v>
      </c>
      <c r="M82" s="53">
        <f t="shared" si="17"/>
        <v>0</v>
      </c>
      <c r="N82" s="53">
        <f t="shared" si="17"/>
        <v>8390.7000000000007</v>
      </c>
      <c r="O82" s="95"/>
      <c r="P82" s="95"/>
    </row>
    <row r="83" spans="1:17" ht="47.25" x14ac:dyDescent="0.2">
      <c r="A83" s="42"/>
      <c r="B83" s="43" t="s">
        <v>119</v>
      </c>
      <c r="C83" s="44" t="s">
        <v>120</v>
      </c>
      <c r="D83" s="45" t="s">
        <v>26</v>
      </c>
      <c r="E83" s="105"/>
      <c r="F83" s="46">
        <f t="shared" si="15"/>
        <v>419.6</v>
      </c>
      <c r="G83" s="46">
        <f t="shared" si="15"/>
        <v>0</v>
      </c>
      <c r="H83" s="46">
        <f t="shared" si="15"/>
        <v>419.6</v>
      </c>
      <c r="I83" s="47">
        <f t="shared" si="16"/>
        <v>7971.1</v>
      </c>
      <c r="J83" s="88"/>
      <c r="K83" s="47">
        <f t="shared" si="16"/>
        <v>7971.1</v>
      </c>
      <c r="L83" s="46">
        <f t="shared" si="17"/>
        <v>8390.7000000000007</v>
      </c>
      <c r="M83" s="46">
        <f t="shared" si="17"/>
        <v>0</v>
      </c>
      <c r="N83" s="46">
        <f t="shared" si="17"/>
        <v>8390.7000000000007</v>
      </c>
      <c r="O83" s="94"/>
      <c r="P83" s="94"/>
    </row>
    <row r="84" spans="1:17" ht="36.6" customHeight="1" x14ac:dyDescent="0.2">
      <c r="A84" s="42"/>
      <c r="B84" s="43" t="s">
        <v>123</v>
      </c>
      <c r="C84" s="44" t="s">
        <v>124</v>
      </c>
      <c r="D84" s="45" t="s">
        <v>26</v>
      </c>
      <c r="E84" s="105"/>
      <c r="F84" s="46">
        <f t="shared" si="15"/>
        <v>419.6</v>
      </c>
      <c r="G84" s="46">
        <f t="shared" si="15"/>
        <v>0</v>
      </c>
      <c r="H84" s="46">
        <f t="shared" si="15"/>
        <v>419.6</v>
      </c>
      <c r="I84" s="47">
        <f t="shared" si="16"/>
        <v>7971.1</v>
      </c>
      <c r="J84" s="88"/>
      <c r="K84" s="47">
        <f t="shared" si="16"/>
        <v>7971.1</v>
      </c>
      <c r="L84" s="46">
        <f t="shared" si="17"/>
        <v>8390.7000000000007</v>
      </c>
      <c r="M84" s="46">
        <f t="shared" si="17"/>
        <v>0</v>
      </c>
      <c r="N84" s="46">
        <f t="shared" si="17"/>
        <v>8390.7000000000007</v>
      </c>
      <c r="O84" s="94"/>
      <c r="P84" s="94"/>
    </row>
    <row r="85" spans="1:17" ht="31.5" x14ac:dyDescent="0.2">
      <c r="A85" s="42"/>
      <c r="B85" s="43" t="s">
        <v>35</v>
      </c>
      <c r="C85" s="44" t="s">
        <v>124</v>
      </c>
      <c r="D85" s="45" t="s">
        <v>36</v>
      </c>
      <c r="E85" s="105"/>
      <c r="F85" s="46">
        <v>419.6</v>
      </c>
      <c r="G85" s="46"/>
      <c r="H85" s="46">
        <v>419.6</v>
      </c>
      <c r="I85" s="47">
        <v>7971.1</v>
      </c>
      <c r="J85" s="88"/>
      <c r="K85" s="47">
        <v>7971.1</v>
      </c>
      <c r="L85" s="46">
        <f>419.6+I85</f>
        <v>8390.7000000000007</v>
      </c>
      <c r="M85" s="46"/>
      <c r="N85" s="46">
        <f>419.6+K85</f>
        <v>8390.7000000000007</v>
      </c>
      <c r="O85" s="94"/>
      <c r="P85" s="94"/>
    </row>
    <row r="86" spans="1:17" ht="35.450000000000003" customHeight="1" x14ac:dyDescent="0.2">
      <c r="A86" s="49"/>
      <c r="B86" s="50" t="s">
        <v>125</v>
      </c>
      <c r="C86" s="51" t="s">
        <v>126</v>
      </c>
      <c r="D86" s="52" t="s">
        <v>26</v>
      </c>
      <c r="E86" s="106"/>
      <c r="F86" s="53">
        <f t="shared" ref="F86:N86" si="18">F87+F93</f>
        <v>13010</v>
      </c>
      <c r="G86" s="53">
        <f t="shared" si="18"/>
        <v>0</v>
      </c>
      <c r="H86" s="53">
        <f t="shared" si="18"/>
        <v>13010</v>
      </c>
      <c r="I86" s="54">
        <f t="shared" si="18"/>
        <v>0</v>
      </c>
      <c r="J86" s="53">
        <f t="shared" si="18"/>
        <v>0</v>
      </c>
      <c r="K86" s="54">
        <f t="shared" si="18"/>
        <v>26656.6</v>
      </c>
      <c r="L86" s="53">
        <f t="shared" si="18"/>
        <v>13010</v>
      </c>
      <c r="M86" s="53">
        <f t="shared" si="18"/>
        <v>0</v>
      </c>
      <c r="N86" s="53">
        <f t="shared" si="18"/>
        <v>13010</v>
      </c>
      <c r="O86" s="95"/>
      <c r="P86" s="95"/>
    </row>
    <row r="87" spans="1:17" ht="31.5" x14ac:dyDescent="0.2">
      <c r="A87" s="42"/>
      <c r="B87" s="43" t="s">
        <v>127</v>
      </c>
      <c r="C87" s="44" t="s">
        <v>128</v>
      </c>
      <c r="D87" s="45" t="s">
        <v>26</v>
      </c>
      <c r="E87" s="105"/>
      <c r="F87" s="46">
        <f>F88+F91</f>
        <v>6900</v>
      </c>
      <c r="G87" s="46">
        <f>G88+G91</f>
        <v>0</v>
      </c>
      <c r="H87" s="46">
        <f>H88+H91</f>
        <v>6900</v>
      </c>
      <c r="I87" s="47">
        <f>I88+I91</f>
        <v>0</v>
      </c>
      <c r="J87" s="88">
        <f>SUM(J88)</f>
        <v>0</v>
      </c>
      <c r="K87" s="47">
        <f>K88+K91</f>
        <v>26656.6</v>
      </c>
      <c r="L87" s="46">
        <f>L88+L91</f>
        <v>6900</v>
      </c>
      <c r="M87" s="46">
        <f>M88+M91</f>
        <v>0</v>
      </c>
      <c r="N87" s="46">
        <f>N88+N91</f>
        <v>6900</v>
      </c>
      <c r="O87" s="94"/>
      <c r="P87" s="94"/>
    </row>
    <row r="88" spans="1:17" ht="49.15" customHeight="1" x14ac:dyDescent="0.2">
      <c r="A88" s="42"/>
      <c r="B88" s="43" t="s">
        <v>129</v>
      </c>
      <c r="C88" s="44" t="s">
        <v>130</v>
      </c>
      <c r="D88" s="45" t="s">
        <v>26</v>
      </c>
      <c r="E88" s="105"/>
      <c r="F88" s="46">
        <f>F89+F90</f>
        <v>6600</v>
      </c>
      <c r="G88" s="46">
        <f>G89+G90</f>
        <v>0</v>
      </c>
      <c r="H88" s="46">
        <f>H89+H90</f>
        <v>6600</v>
      </c>
      <c r="I88" s="47">
        <f>I89+I90</f>
        <v>0</v>
      </c>
      <c r="J88" s="88">
        <f>SUM(J89+J90)</f>
        <v>0</v>
      </c>
      <c r="K88" s="47">
        <f>K89+K90</f>
        <v>26656.6</v>
      </c>
      <c r="L88" s="46">
        <f>L89+L90</f>
        <v>6600</v>
      </c>
      <c r="M88" s="46">
        <f>M89+M90</f>
        <v>0</v>
      </c>
      <c r="N88" s="46">
        <f>N89+N90</f>
        <v>6600</v>
      </c>
      <c r="O88" s="94"/>
      <c r="P88" s="94"/>
    </row>
    <row r="89" spans="1:17" ht="31.5" x14ac:dyDescent="0.2">
      <c r="A89" s="42"/>
      <c r="B89" s="43" t="s">
        <v>35</v>
      </c>
      <c r="C89" s="44" t="s">
        <v>130</v>
      </c>
      <c r="D89" s="45" t="s">
        <v>36</v>
      </c>
      <c r="E89" s="105"/>
      <c r="F89" s="56">
        <f>6600-5000</f>
        <v>1600</v>
      </c>
      <c r="G89" s="56"/>
      <c r="H89" s="56">
        <f>6600-5000</f>
        <v>1600</v>
      </c>
      <c r="I89" s="47">
        <v>0</v>
      </c>
      <c r="J89" s="111"/>
      <c r="K89" s="111">
        <v>21656.6</v>
      </c>
      <c r="L89" s="56">
        <f>6600-5000</f>
        <v>1600</v>
      </c>
      <c r="M89" s="56">
        <f>SUM(J89)+G89</f>
        <v>0</v>
      </c>
      <c r="N89" s="56">
        <f>6600-5000+M89</f>
        <v>1600</v>
      </c>
      <c r="O89" s="94"/>
      <c r="P89" s="94"/>
    </row>
    <row r="90" spans="1:17" ht="31.5" x14ac:dyDescent="0.2">
      <c r="A90" s="42"/>
      <c r="B90" s="43" t="s">
        <v>131</v>
      </c>
      <c r="C90" s="44" t="s">
        <v>130</v>
      </c>
      <c r="D90" s="45" t="s">
        <v>132</v>
      </c>
      <c r="E90" s="105"/>
      <c r="F90" s="56">
        <v>5000</v>
      </c>
      <c r="G90" s="56"/>
      <c r="H90" s="56">
        <v>5000</v>
      </c>
      <c r="I90" s="47">
        <v>0</v>
      </c>
      <c r="J90" s="111"/>
      <c r="K90" s="111">
        <v>5000</v>
      </c>
      <c r="L90" s="56">
        <v>5000</v>
      </c>
      <c r="M90" s="56">
        <f>SUM(J90)+G90</f>
        <v>0</v>
      </c>
      <c r="N90" s="56">
        <v>5000</v>
      </c>
      <c r="O90" s="94"/>
      <c r="P90" s="94"/>
    </row>
    <row r="91" spans="1:17" ht="63" x14ac:dyDescent="0.2">
      <c r="A91" s="42"/>
      <c r="B91" s="43" t="s">
        <v>135</v>
      </c>
      <c r="C91" s="44" t="s">
        <v>136</v>
      </c>
      <c r="D91" s="45" t="s">
        <v>26</v>
      </c>
      <c r="E91" s="105"/>
      <c r="F91" s="46">
        <f>F92</f>
        <v>300</v>
      </c>
      <c r="G91" s="46">
        <f>G92</f>
        <v>0</v>
      </c>
      <c r="H91" s="46">
        <f>H92</f>
        <v>300</v>
      </c>
      <c r="I91" s="47">
        <f>I92</f>
        <v>0</v>
      </c>
      <c r="J91" s="88"/>
      <c r="K91" s="47">
        <f>K92</f>
        <v>0</v>
      </c>
      <c r="L91" s="46">
        <f>L92</f>
        <v>300</v>
      </c>
      <c r="M91" s="46">
        <f>M92</f>
        <v>0</v>
      </c>
      <c r="N91" s="46">
        <f>N92</f>
        <v>300</v>
      </c>
      <c r="O91" s="94"/>
      <c r="P91" s="94"/>
    </row>
    <row r="92" spans="1:17" ht="31.5" x14ac:dyDescent="0.2">
      <c r="A92" s="42"/>
      <c r="B92" s="43" t="s">
        <v>35</v>
      </c>
      <c r="C92" s="44" t="s">
        <v>136</v>
      </c>
      <c r="D92" s="45" t="s">
        <v>36</v>
      </c>
      <c r="E92" s="105"/>
      <c r="F92" s="46">
        <v>300</v>
      </c>
      <c r="G92" s="46"/>
      <c r="H92" s="46">
        <v>300</v>
      </c>
      <c r="I92" s="47">
        <v>0</v>
      </c>
      <c r="J92" s="88"/>
      <c r="K92" s="47">
        <v>0</v>
      </c>
      <c r="L92" s="46">
        <v>300</v>
      </c>
      <c r="M92" s="46"/>
      <c r="N92" s="46">
        <v>300</v>
      </c>
      <c r="O92" s="94"/>
      <c r="P92" s="94"/>
    </row>
    <row r="93" spans="1:17" ht="31.5" x14ac:dyDescent="0.2">
      <c r="A93" s="42"/>
      <c r="B93" s="43" t="s">
        <v>137</v>
      </c>
      <c r="C93" s="44" t="s">
        <v>138</v>
      </c>
      <c r="D93" s="45" t="s">
        <v>26</v>
      </c>
      <c r="E93" s="105"/>
      <c r="F93" s="46">
        <f t="shared" ref="F93:N94" si="19">F94</f>
        <v>6110</v>
      </c>
      <c r="G93" s="46">
        <f t="shared" si="19"/>
        <v>0</v>
      </c>
      <c r="H93" s="46">
        <f t="shared" si="19"/>
        <v>6110</v>
      </c>
      <c r="I93" s="47">
        <f t="shared" si="19"/>
        <v>0</v>
      </c>
      <c r="J93" s="88"/>
      <c r="K93" s="47">
        <f t="shared" si="19"/>
        <v>0</v>
      </c>
      <c r="L93" s="46">
        <f t="shared" si="19"/>
        <v>6110</v>
      </c>
      <c r="M93" s="46">
        <f t="shared" si="19"/>
        <v>0</v>
      </c>
      <c r="N93" s="46">
        <f t="shared" si="19"/>
        <v>6110</v>
      </c>
      <c r="O93" s="94"/>
      <c r="P93" s="94"/>
    </row>
    <row r="94" spans="1:17" ht="63" x14ac:dyDescent="0.2">
      <c r="A94" s="42"/>
      <c r="B94" s="43" t="s">
        <v>135</v>
      </c>
      <c r="C94" s="44" t="s">
        <v>139</v>
      </c>
      <c r="D94" s="45" t="s">
        <v>26</v>
      </c>
      <c r="E94" s="105"/>
      <c r="F94" s="46">
        <f t="shared" si="19"/>
        <v>6110</v>
      </c>
      <c r="G94" s="46">
        <f t="shared" si="19"/>
        <v>0</v>
      </c>
      <c r="H94" s="46">
        <f t="shared" si="19"/>
        <v>6110</v>
      </c>
      <c r="I94" s="47">
        <f t="shared" si="19"/>
        <v>0</v>
      </c>
      <c r="J94" s="88"/>
      <c r="K94" s="47">
        <f t="shared" si="19"/>
        <v>0</v>
      </c>
      <c r="L94" s="46">
        <f t="shared" si="19"/>
        <v>6110</v>
      </c>
      <c r="M94" s="46">
        <f t="shared" si="19"/>
        <v>0</v>
      </c>
      <c r="N94" s="46">
        <f t="shared" si="19"/>
        <v>6110</v>
      </c>
      <c r="O94" s="94"/>
      <c r="P94" s="94"/>
    </row>
    <row r="95" spans="1:17" ht="31.5" x14ac:dyDescent="0.2">
      <c r="A95" s="42"/>
      <c r="B95" s="43" t="s">
        <v>35</v>
      </c>
      <c r="C95" s="44" t="s">
        <v>139</v>
      </c>
      <c r="D95" s="45" t="s">
        <v>36</v>
      </c>
      <c r="E95" s="105"/>
      <c r="F95" s="56">
        <f>4810+1300</f>
        <v>6110</v>
      </c>
      <c r="G95" s="56"/>
      <c r="H95" s="56">
        <f>4810+1300</f>
        <v>6110</v>
      </c>
      <c r="I95" s="47">
        <v>0</v>
      </c>
      <c r="J95" s="111"/>
      <c r="K95" s="47">
        <v>0</v>
      </c>
      <c r="L95" s="56">
        <f>4810+1300</f>
        <v>6110</v>
      </c>
      <c r="M95" s="56"/>
      <c r="N95" s="56">
        <f>4810+1300</f>
        <v>6110</v>
      </c>
      <c r="O95" s="94"/>
      <c r="P95" s="94"/>
    </row>
    <row r="96" spans="1:17" ht="15.75" x14ac:dyDescent="0.2">
      <c r="A96" s="49"/>
      <c r="B96" s="50" t="s">
        <v>140</v>
      </c>
      <c r="C96" s="51" t="s">
        <v>141</v>
      </c>
      <c r="D96" s="52" t="s">
        <v>26</v>
      </c>
      <c r="E96" s="106"/>
      <c r="F96" s="53">
        <f t="shared" ref="F96:N96" si="20">F97+F101</f>
        <v>14377.4</v>
      </c>
      <c r="G96" s="53">
        <f t="shared" si="20"/>
        <v>0</v>
      </c>
      <c r="H96" s="53">
        <f t="shared" si="20"/>
        <v>14377.4</v>
      </c>
      <c r="I96" s="54">
        <f t="shared" si="20"/>
        <v>0</v>
      </c>
      <c r="J96" s="53">
        <f t="shared" si="20"/>
        <v>0</v>
      </c>
      <c r="K96" s="54">
        <f t="shared" si="20"/>
        <v>0</v>
      </c>
      <c r="L96" s="53">
        <f t="shared" si="20"/>
        <v>14377.4</v>
      </c>
      <c r="M96" s="53">
        <f t="shared" si="20"/>
        <v>0</v>
      </c>
      <c r="N96" s="53">
        <f t="shared" si="20"/>
        <v>14377.4</v>
      </c>
      <c r="O96" s="95"/>
      <c r="P96" s="95"/>
      <c r="Q96" s="55"/>
    </row>
    <row r="97" spans="1:17" ht="47.25" x14ac:dyDescent="0.2">
      <c r="A97" s="42"/>
      <c r="B97" s="43" t="s">
        <v>142</v>
      </c>
      <c r="C97" s="44" t="s">
        <v>143</v>
      </c>
      <c r="D97" s="45" t="s">
        <v>26</v>
      </c>
      <c r="E97" s="105"/>
      <c r="F97" s="46">
        <f>F98</f>
        <v>8104</v>
      </c>
      <c r="G97" s="46">
        <f>G98</f>
        <v>0</v>
      </c>
      <c r="H97" s="46">
        <f>H98</f>
        <v>8104</v>
      </c>
      <c r="I97" s="47">
        <f>I98</f>
        <v>0</v>
      </c>
      <c r="J97" s="88"/>
      <c r="K97" s="47">
        <f>K98</f>
        <v>0</v>
      </c>
      <c r="L97" s="46">
        <f>L98</f>
        <v>8104</v>
      </c>
      <c r="M97" s="46">
        <f>M98</f>
        <v>0</v>
      </c>
      <c r="N97" s="46">
        <f>N98</f>
        <v>8104</v>
      </c>
      <c r="O97" s="94"/>
      <c r="P97" s="94"/>
    </row>
    <row r="98" spans="1:17" ht="31.5" x14ac:dyDescent="0.2">
      <c r="A98" s="42"/>
      <c r="B98" s="43" t="s">
        <v>39</v>
      </c>
      <c r="C98" s="44" t="s">
        <v>144</v>
      </c>
      <c r="D98" s="45" t="s">
        <v>26</v>
      </c>
      <c r="E98" s="105"/>
      <c r="F98" s="46">
        <f>F99+F100</f>
        <v>8104</v>
      </c>
      <c r="G98" s="46">
        <f>G99+G100</f>
        <v>0</v>
      </c>
      <c r="H98" s="46">
        <f>H99+H100</f>
        <v>8104</v>
      </c>
      <c r="I98" s="47">
        <f>I99+I100</f>
        <v>0</v>
      </c>
      <c r="J98" s="88"/>
      <c r="K98" s="47">
        <f>K99+K100</f>
        <v>0</v>
      </c>
      <c r="L98" s="46">
        <f>L99+L100</f>
        <v>8104</v>
      </c>
      <c r="M98" s="46">
        <f>M99+M100</f>
        <v>0</v>
      </c>
      <c r="N98" s="46">
        <f>N99+N100</f>
        <v>8104</v>
      </c>
      <c r="O98" s="94"/>
      <c r="P98" s="94"/>
    </row>
    <row r="99" spans="1:17" ht="64.900000000000006" customHeight="1" x14ac:dyDescent="0.2">
      <c r="A99" s="42"/>
      <c r="B99" s="43" t="s">
        <v>31</v>
      </c>
      <c r="C99" s="44" t="s">
        <v>144</v>
      </c>
      <c r="D99" s="45" t="s">
        <v>32</v>
      </c>
      <c r="E99" s="105"/>
      <c r="F99" s="46">
        <v>7905.2</v>
      </c>
      <c r="G99" s="46"/>
      <c r="H99" s="46">
        <v>7905.2</v>
      </c>
      <c r="I99" s="47">
        <v>0</v>
      </c>
      <c r="J99" s="88"/>
      <c r="K99" s="47">
        <v>0</v>
      </c>
      <c r="L99" s="46">
        <v>7905.2</v>
      </c>
      <c r="M99" s="46"/>
      <c r="N99" s="46">
        <v>7905.2</v>
      </c>
      <c r="O99" s="94"/>
      <c r="P99" s="94"/>
    </row>
    <row r="100" spans="1:17" ht="31.5" x14ac:dyDescent="0.2">
      <c r="A100" s="42"/>
      <c r="B100" s="43" t="s">
        <v>35</v>
      </c>
      <c r="C100" s="44" t="s">
        <v>144</v>
      </c>
      <c r="D100" s="45" t="s">
        <v>36</v>
      </c>
      <c r="E100" s="105"/>
      <c r="F100" s="46">
        <v>198.8</v>
      </c>
      <c r="G100" s="46"/>
      <c r="H100" s="46">
        <v>198.8</v>
      </c>
      <c r="I100" s="47">
        <v>0</v>
      </c>
      <c r="J100" s="88"/>
      <c r="K100" s="47">
        <v>0</v>
      </c>
      <c r="L100" s="46">
        <v>198.8</v>
      </c>
      <c r="M100" s="46"/>
      <c r="N100" s="46">
        <v>198.8</v>
      </c>
      <c r="O100" s="94"/>
      <c r="P100" s="94"/>
    </row>
    <row r="101" spans="1:17" ht="47.25" x14ac:dyDescent="0.2">
      <c r="A101" s="42"/>
      <c r="B101" s="43" t="s">
        <v>149</v>
      </c>
      <c r="C101" s="44" t="s">
        <v>150</v>
      </c>
      <c r="D101" s="45" t="s">
        <v>26</v>
      </c>
      <c r="E101" s="105"/>
      <c r="F101" s="46">
        <f t="shared" ref="F101:N102" si="21">F102</f>
        <v>6273.4</v>
      </c>
      <c r="G101" s="46">
        <f t="shared" si="21"/>
        <v>0</v>
      </c>
      <c r="H101" s="46">
        <f t="shared" si="21"/>
        <v>6273.4</v>
      </c>
      <c r="I101" s="47">
        <f t="shared" si="21"/>
        <v>0</v>
      </c>
      <c r="J101" s="88"/>
      <c r="K101" s="47">
        <f t="shared" si="21"/>
        <v>0</v>
      </c>
      <c r="L101" s="46">
        <f t="shared" si="21"/>
        <v>6273.4</v>
      </c>
      <c r="M101" s="46">
        <f t="shared" si="21"/>
        <v>0</v>
      </c>
      <c r="N101" s="46">
        <f t="shared" si="21"/>
        <v>6273.4</v>
      </c>
      <c r="O101" s="94"/>
      <c r="P101" s="94"/>
    </row>
    <row r="102" spans="1:17" ht="31.5" x14ac:dyDescent="0.2">
      <c r="A102" s="42"/>
      <c r="B102" s="43" t="s">
        <v>39</v>
      </c>
      <c r="C102" s="44" t="s">
        <v>151</v>
      </c>
      <c r="D102" s="45" t="s">
        <v>26</v>
      </c>
      <c r="E102" s="105"/>
      <c r="F102" s="46">
        <f t="shared" si="21"/>
        <v>6273.4</v>
      </c>
      <c r="G102" s="46">
        <f t="shared" si="21"/>
        <v>0</v>
      </c>
      <c r="H102" s="46">
        <f t="shared" si="21"/>
        <v>6273.4</v>
      </c>
      <c r="I102" s="47">
        <f t="shared" si="21"/>
        <v>0</v>
      </c>
      <c r="J102" s="88"/>
      <c r="K102" s="47">
        <f t="shared" si="21"/>
        <v>0</v>
      </c>
      <c r="L102" s="46">
        <f t="shared" si="21"/>
        <v>6273.4</v>
      </c>
      <c r="M102" s="46">
        <f t="shared" si="21"/>
        <v>0</v>
      </c>
      <c r="N102" s="46">
        <f t="shared" si="21"/>
        <v>6273.4</v>
      </c>
      <c r="O102" s="94"/>
      <c r="P102" s="94"/>
    </row>
    <row r="103" spans="1:17" ht="31.5" x14ac:dyDescent="0.2">
      <c r="A103" s="42"/>
      <c r="B103" s="43" t="s">
        <v>74</v>
      </c>
      <c r="C103" s="44" t="s">
        <v>151</v>
      </c>
      <c r="D103" s="45" t="s">
        <v>75</v>
      </c>
      <c r="E103" s="105"/>
      <c r="F103" s="46">
        <v>6273.4</v>
      </c>
      <c r="G103" s="46"/>
      <c r="H103" s="46">
        <v>6273.4</v>
      </c>
      <c r="I103" s="47">
        <v>0</v>
      </c>
      <c r="J103" s="88"/>
      <c r="K103" s="47">
        <v>0</v>
      </c>
      <c r="L103" s="46">
        <v>6273.4</v>
      </c>
      <c r="M103" s="46"/>
      <c r="N103" s="46">
        <v>6273.4</v>
      </c>
      <c r="O103" s="94"/>
      <c r="P103" s="94"/>
    </row>
    <row r="104" spans="1:17" ht="31.5" x14ac:dyDescent="0.2">
      <c r="A104" s="19" t="s">
        <v>156</v>
      </c>
      <c r="B104" s="20" t="s">
        <v>157</v>
      </c>
      <c r="C104" s="21" t="s">
        <v>158</v>
      </c>
      <c r="D104" s="22" t="s">
        <v>26</v>
      </c>
      <c r="E104" s="104"/>
      <c r="F104" s="23">
        <f t="shared" ref="F104:N104" si="22">F105+F109+F119+F133+F139</f>
        <v>173186.7</v>
      </c>
      <c r="G104" s="23">
        <f t="shared" si="22"/>
        <v>0</v>
      </c>
      <c r="H104" s="23">
        <f t="shared" si="22"/>
        <v>173186.7</v>
      </c>
      <c r="I104" s="24">
        <f t="shared" si="22"/>
        <v>2303038.5000000005</v>
      </c>
      <c r="J104" s="23">
        <f t="shared" si="22"/>
        <v>0</v>
      </c>
      <c r="K104" s="24">
        <f t="shared" si="22"/>
        <v>2303038.5000000005</v>
      </c>
      <c r="L104" s="23">
        <f t="shared" si="22"/>
        <v>2476225.1999999997</v>
      </c>
      <c r="M104" s="23">
        <f t="shared" si="22"/>
        <v>0</v>
      </c>
      <c r="N104" s="23">
        <f t="shared" si="22"/>
        <v>2476225.1999999997</v>
      </c>
      <c r="O104" s="93"/>
      <c r="P104" s="93"/>
      <c r="Q104" s="25"/>
    </row>
    <row r="105" spans="1:17" ht="20.45" customHeight="1" x14ac:dyDescent="0.2">
      <c r="A105" s="49"/>
      <c r="B105" s="50" t="s">
        <v>159</v>
      </c>
      <c r="C105" s="51" t="s">
        <v>160</v>
      </c>
      <c r="D105" s="52" t="s">
        <v>26</v>
      </c>
      <c r="E105" s="106"/>
      <c r="F105" s="53">
        <f t="shared" ref="F105:H107" si="23">F106</f>
        <v>2930.2</v>
      </c>
      <c r="G105" s="53">
        <f t="shared" si="23"/>
        <v>0</v>
      </c>
      <c r="H105" s="53">
        <f t="shared" si="23"/>
        <v>2930.2</v>
      </c>
      <c r="I105" s="54">
        <f t="shared" ref="I105:K107" si="24">I106</f>
        <v>3074.2</v>
      </c>
      <c r="J105" s="87"/>
      <c r="K105" s="54">
        <f t="shared" si="24"/>
        <v>3074.2</v>
      </c>
      <c r="L105" s="53">
        <f>L106</f>
        <v>6004.4</v>
      </c>
      <c r="M105" s="53">
        <f t="shared" ref="L105:N107" si="25">M106</f>
        <v>0</v>
      </c>
      <c r="N105" s="53">
        <f t="shared" si="25"/>
        <v>6004.4</v>
      </c>
      <c r="O105" s="95"/>
      <c r="P105" s="95"/>
    </row>
    <row r="106" spans="1:17" ht="31.5" x14ac:dyDescent="0.2">
      <c r="A106" s="42"/>
      <c r="B106" s="43" t="s">
        <v>161</v>
      </c>
      <c r="C106" s="44" t="s">
        <v>162</v>
      </c>
      <c r="D106" s="45" t="s">
        <v>26</v>
      </c>
      <c r="E106" s="105"/>
      <c r="F106" s="46">
        <f t="shared" si="23"/>
        <v>2930.2</v>
      </c>
      <c r="G106" s="46">
        <f t="shared" si="23"/>
        <v>0</v>
      </c>
      <c r="H106" s="46">
        <f t="shared" si="23"/>
        <v>2930.2</v>
      </c>
      <c r="I106" s="47">
        <f t="shared" si="24"/>
        <v>3074.2</v>
      </c>
      <c r="J106" s="88"/>
      <c r="K106" s="47">
        <f t="shared" si="24"/>
        <v>3074.2</v>
      </c>
      <c r="L106" s="46">
        <f t="shared" si="25"/>
        <v>6004.4</v>
      </c>
      <c r="M106" s="46">
        <f t="shared" si="25"/>
        <v>0</v>
      </c>
      <c r="N106" s="46">
        <f t="shared" si="25"/>
        <v>6004.4</v>
      </c>
      <c r="O106" s="94"/>
      <c r="P106" s="94"/>
    </row>
    <row r="107" spans="1:17" ht="24" customHeight="1" x14ac:dyDescent="0.2">
      <c r="A107" s="42"/>
      <c r="B107" s="43" t="s">
        <v>163</v>
      </c>
      <c r="C107" s="44" t="s">
        <v>164</v>
      </c>
      <c r="D107" s="45" t="s">
        <v>26</v>
      </c>
      <c r="E107" s="105"/>
      <c r="F107" s="46">
        <f t="shared" si="23"/>
        <v>2930.2</v>
      </c>
      <c r="G107" s="46">
        <f t="shared" si="23"/>
        <v>0</v>
      </c>
      <c r="H107" s="46">
        <f t="shared" si="23"/>
        <v>2930.2</v>
      </c>
      <c r="I107" s="47">
        <f t="shared" si="24"/>
        <v>3074.2</v>
      </c>
      <c r="J107" s="88"/>
      <c r="K107" s="47">
        <f t="shared" si="24"/>
        <v>3074.2</v>
      </c>
      <c r="L107" s="46">
        <f t="shared" si="25"/>
        <v>6004.4</v>
      </c>
      <c r="M107" s="46">
        <f t="shared" si="25"/>
        <v>0</v>
      </c>
      <c r="N107" s="46">
        <f t="shared" si="25"/>
        <v>6004.4</v>
      </c>
      <c r="O107" s="94"/>
      <c r="P107" s="94"/>
    </row>
    <row r="108" spans="1:17" ht="15.75" x14ac:dyDescent="0.2">
      <c r="A108" s="42"/>
      <c r="B108" s="43" t="s">
        <v>54</v>
      </c>
      <c r="C108" s="44" t="s">
        <v>164</v>
      </c>
      <c r="D108" s="45" t="s">
        <v>55</v>
      </c>
      <c r="E108" s="105"/>
      <c r="F108" s="46">
        <v>2930.2</v>
      </c>
      <c r="G108" s="46"/>
      <c r="H108" s="46">
        <v>2930.2</v>
      </c>
      <c r="I108" s="47">
        <v>3074.2</v>
      </c>
      <c r="J108" s="88"/>
      <c r="K108" s="47">
        <v>3074.2</v>
      </c>
      <c r="L108" s="46">
        <f>2930.2+I108</f>
        <v>6004.4</v>
      </c>
      <c r="M108" s="46"/>
      <c r="N108" s="46">
        <f>2930.2+K108</f>
        <v>6004.4</v>
      </c>
      <c r="O108" s="94"/>
      <c r="P108" s="94"/>
    </row>
    <row r="109" spans="1:17" ht="31.5" x14ac:dyDescent="0.2">
      <c r="A109" s="49"/>
      <c r="B109" s="50" t="s">
        <v>165</v>
      </c>
      <c r="C109" s="51" t="s">
        <v>166</v>
      </c>
      <c r="D109" s="52" t="s">
        <v>26</v>
      </c>
      <c r="E109" s="106"/>
      <c r="F109" s="53">
        <f t="shared" ref="F109:N109" si="26">F110</f>
        <v>14186.4</v>
      </c>
      <c r="G109" s="53">
        <f t="shared" si="26"/>
        <v>0</v>
      </c>
      <c r="H109" s="53">
        <f t="shared" si="26"/>
        <v>14186.4</v>
      </c>
      <c r="I109" s="54">
        <f t="shared" si="26"/>
        <v>2299964.3000000003</v>
      </c>
      <c r="J109" s="53">
        <f t="shared" si="26"/>
        <v>0</v>
      </c>
      <c r="K109" s="54">
        <f t="shared" si="26"/>
        <v>2299964.3000000003</v>
      </c>
      <c r="L109" s="53">
        <f t="shared" si="26"/>
        <v>2314150.7000000002</v>
      </c>
      <c r="M109" s="53">
        <f t="shared" si="26"/>
        <v>0</v>
      </c>
      <c r="N109" s="53">
        <f t="shared" si="26"/>
        <v>2314150.7000000002</v>
      </c>
      <c r="O109" s="95"/>
      <c r="P109" s="95"/>
      <c r="Q109" s="55"/>
    </row>
    <row r="110" spans="1:17" ht="39.6" customHeight="1" x14ac:dyDescent="0.2">
      <c r="A110" s="42"/>
      <c r="B110" s="43" t="s">
        <v>167</v>
      </c>
      <c r="C110" s="44" t="s">
        <v>168</v>
      </c>
      <c r="D110" s="45" t="s">
        <v>26</v>
      </c>
      <c r="E110" s="105"/>
      <c r="F110" s="46">
        <f>F111+F113+F115+F117</f>
        <v>14186.4</v>
      </c>
      <c r="G110" s="46">
        <f>G111+G113+G115+G117</f>
        <v>0</v>
      </c>
      <c r="H110" s="46">
        <f>H111+H113+H115+H117</f>
        <v>14186.4</v>
      </c>
      <c r="I110" s="47">
        <f>I111+I113+I115+I117</f>
        <v>2299964.3000000003</v>
      </c>
      <c r="J110" s="88"/>
      <c r="K110" s="47">
        <f>K111+K113+K115+K117</f>
        <v>2299964.3000000003</v>
      </c>
      <c r="L110" s="46">
        <f>L111+L113+L115+L117</f>
        <v>2314150.7000000002</v>
      </c>
      <c r="M110" s="46">
        <f>M111+M113+M115+M117</f>
        <v>0</v>
      </c>
      <c r="N110" s="46">
        <f>N111+N113+N115+N117</f>
        <v>2314150.7000000002</v>
      </c>
      <c r="O110" s="94"/>
      <c r="P110" s="94"/>
      <c r="Q110" s="48"/>
    </row>
    <row r="111" spans="1:17" ht="15.75" x14ac:dyDescent="0.2">
      <c r="A111" s="42"/>
      <c r="B111" s="43" t="s">
        <v>169</v>
      </c>
      <c r="C111" s="44" t="s">
        <v>170</v>
      </c>
      <c r="D111" s="45" t="s">
        <v>26</v>
      </c>
      <c r="E111" s="105"/>
      <c r="F111" s="46">
        <f>F112</f>
        <v>1530</v>
      </c>
      <c r="G111" s="46">
        <f>G112</f>
        <v>0</v>
      </c>
      <c r="H111" s="46">
        <f>H112</f>
        <v>1530</v>
      </c>
      <c r="I111" s="47">
        <f>I112</f>
        <v>0</v>
      </c>
      <c r="J111" s="88"/>
      <c r="K111" s="47">
        <f>K112</f>
        <v>0</v>
      </c>
      <c r="L111" s="46">
        <f>L112</f>
        <v>1530</v>
      </c>
      <c r="M111" s="46">
        <f>M112</f>
        <v>0</v>
      </c>
      <c r="N111" s="46">
        <f>N112</f>
        <v>1530</v>
      </c>
      <c r="O111" s="94"/>
      <c r="P111" s="94"/>
    </row>
    <row r="112" spans="1:17" ht="31.5" x14ac:dyDescent="0.2">
      <c r="A112" s="42"/>
      <c r="B112" s="43" t="s">
        <v>35</v>
      </c>
      <c r="C112" s="44" t="s">
        <v>170</v>
      </c>
      <c r="D112" s="45" t="s">
        <v>36</v>
      </c>
      <c r="E112" s="105"/>
      <c r="F112" s="46">
        <v>1530</v>
      </c>
      <c r="G112" s="46"/>
      <c r="H112" s="46">
        <v>1530</v>
      </c>
      <c r="I112" s="47">
        <v>0</v>
      </c>
      <c r="J112" s="88"/>
      <c r="K112" s="47">
        <v>0</v>
      </c>
      <c r="L112" s="46">
        <v>1530</v>
      </c>
      <c r="M112" s="46"/>
      <c r="N112" s="46">
        <v>1530</v>
      </c>
      <c r="O112" s="94"/>
      <c r="P112" s="94"/>
    </row>
    <row r="113" spans="1:17" ht="20.45" customHeight="1" x14ac:dyDescent="0.2">
      <c r="A113" s="42"/>
      <c r="B113" s="43" t="s">
        <v>171</v>
      </c>
      <c r="C113" s="44" t="s">
        <v>172</v>
      </c>
      <c r="D113" s="45" t="s">
        <v>26</v>
      </c>
      <c r="E113" s="105"/>
      <c r="F113" s="46">
        <f>F114</f>
        <v>11457.5</v>
      </c>
      <c r="G113" s="46">
        <f>G114</f>
        <v>0</v>
      </c>
      <c r="H113" s="46">
        <f>H114</f>
        <v>11457.5</v>
      </c>
      <c r="I113" s="47">
        <f>I114</f>
        <v>2280029.1</v>
      </c>
      <c r="J113" s="88"/>
      <c r="K113" s="47">
        <f>K114</f>
        <v>2280029.1</v>
      </c>
      <c r="L113" s="46">
        <f>L114</f>
        <v>2291486.6</v>
      </c>
      <c r="M113" s="46">
        <f>M114</f>
        <v>0</v>
      </c>
      <c r="N113" s="46">
        <f>N114</f>
        <v>2291486.6</v>
      </c>
      <c r="O113" s="94"/>
      <c r="P113" s="94"/>
    </row>
    <row r="114" spans="1:17" ht="31.5" x14ac:dyDescent="0.2">
      <c r="A114" s="42"/>
      <c r="B114" s="43" t="s">
        <v>131</v>
      </c>
      <c r="C114" s="44" t="s">
        <v>172</v>
      </c>
      <c r="D114" s="45" t="s">
        <v>132</v>
      </c>
      <c r="E114" s="105"/>
      <c r="F114" s="46">
        <v>11457.5</v>
      </c>
      <c r="G114" s="46"/>
      <c r="H114" s="46">
        <v>11457.5</v>
      </c>
      <c r="I114" s="47">
        <v>2280029.1</v>
      </c>
      <c r="J114" s="88"/>
      <c r="K114" s="47">
        <v>2280029.1</v>
      </c>
      <c r="L114" s="46">
        <f>11457.5+I114</f>
        <v>2291486.6</v>
      </c>
      <c r="M114" s="46"/>
      <c r="N114" s="46">
        <f>11457.5+K114</f>
        <v>2291486.6</v>
      </c>
      <c r="O114" s="94"/>
      <c r="P114" s="94"/>
    </row>
    <row r="115" spans="1:17" ht="15.75" x14ac:dyDescent="0.2">
      <c r="A115" s="42"/>
      <c r="B115" s="43" t="s">
        <v>173</v>
      </c>
      <c r="C115" s="44" t="s">
        <v>174</v>
      </c>
      <c r="D115" s="45" t="s">
        <v>26</v>
      </c>
      <c r="E115" s="105"/>
      <c r="F115" s="46">
        <f>F116</f>
        <v>0</v>
      </c>
      <c r="G115" s="46">
        <f>G116</f>
        <v>0</v>
      </c>
      <c r="H115" s="46">
        <f>H116</f>
        <v>0</v>
      </c>
      <c r="I115" s="47">
        <f>I116</f>
        <v>7335.5</v>
      </c>
      <c r="J115" s="88"/>
      <c r="K115" s="47">
        <f>K116</f>
        <v>7335.5</v>
      </c>
      <c r="L115" s="46">
        <f>L116</f>
        <v>7335.5</v>
      </c>
      <c r="M115" s="46">
        <f>M116</f>
        <v>0</v>
      </c>
      <c r="N115" s="46">
        <f>N116</f>
        <v>7335.5</v>
      </c>
      <c r="O115" s="94"/>
      <c r="P115" s="94"/>
    </row>
    <row r="116" spans="1:17" ht="31.5" x14ac:dyDescent="0.2">
      <c r="A116" s="42"/>
      <c r="B116" s="43" t="s">
        <v>131</v>
      </c>
      <c r="C116" s="44" t="s">
        <v>174</v>
      </c>
      <c r="D116" s="45" t="s">
        <v>132</v>
      </c>
      <c r="E116" s="105"/>
      <c r="F116" s="46">
        <v>0</v>
      </c>
      <c r="G116" s="46">
        <v>0</v>
      </c>
      <c r="H116" s="46">
        <v>0</v>
      </c>
      <c r="I116" s="78">
        <f>14200-6864.5</f>
        <v>7335.5</v>
      </c>
      <c r="J116" s="88"/>
      <c r="K116" s="78">
        <f>14200-6864.5</f>
        <v>7335.5</v>
      </c>
      <c r="L116" s="78">
        <f>14200-6864.5</f>
        <v>7335.5</v>
      </c>
      <c r="M116" s="46">
        <v>0</v>
      </c>
      <c r="N116" s="78">
        <f>14200-6864.5</f>
        <v>7335.5</v>
      </c>
      <c r="O116" s="94"/>
      <c r="P116" s="94"/>
    </row>
    <row r="117" spans="1:17" ht="15.75" x14ac:dyDescent="0.2">
      <c r="A117" s="42"/>
      <c r="B117" s="43" t="s">
        <v>175</v>
      </c>
      <c r="C117" s="44" t="s">
        <v>176</v>
      </c>
      <c r="D117" s="45" t="s">
        <v>26</v>
      </c>
      <c r="E117" s="105"/>
      <c r="F117" s="46">
        <f>F118</f>
        <v>1198.9000000000001</v>
      </c>
      <c r="G117" s="46">
        <f>G118</f>
        <v>0</v>
      </c>
      <c r="H117" s="46">
        <f>H118</f>
        <v>1198.9000000000001</v>
      </c>
      <c r="I117" s="47">
        <f>I118</f>
        <v>12599.699999999999</v>
      </c>
      <c r="J117" s="88"/>
      <c r="K117" s="47">
        <f>K118</f>
        <v>12599.699999999999</v>
      </c>
      <c r="L117" s="46">
        <f>L118</f>
        <v>13798.599999999999</v>
      </c>
      <c r="M117" s="46">
        <f>M118</f>
        <v>0</v>
      </c>
      <c r="N117" s="46">
        <f>N118</f>
        <v>13798.599999999999</v>
      </c>
      <c r="O117" s="94"/>
      <c r="P117" s="94"/>
    </row>
    <row r="118" spans="1:17" ht="31.5" x14ac:dyDescent="0.2">
      <c r="A118" s="42"/>
      <c r="B118" s="43" t="s">
        <v>131</v>
      </c>
      <c r="C118" s="44" t="s">
        <v>176</v>
      </c>
      <c r="D118" s="45" t="s">
        <v>132</v>
      </c>
      <c r="E118" s="105"/>
      <c r="F118" s="46">
        <v>1198.9000000000001</v>
      </c>
      <c r="G118" s="46"/>
      <c r="H118" s="46">
        <v>1198.9000000000001</v>
      </c>
      <c r="I118" s="78">
        <f>11689.4+910.3</f>
        <v>12599.699999999999</v>
      </c>
      <c r="J118" s="88"/>
      <c r="K118" s="78">
        <f>11689.4+910.3</f>
        <v>12599.699999999999</v>
      </c>
      <c r="L118" s="46">
        <f>1198.9+I118</f>
        <v>13798.599999999999</v>
      </c>
      <c r="M118" s="46"/>
      <c r="N118" s="46">
        <f>1198.9+K118</f>
        <v>13798.599999999999</v>
      </c>
      <c r="O118" s="94"/>
      <c r="P118" s="94"/>
    </row>
    <row r="119" spans="1:17" ht="15.75" x14ac:dyDescent="0.2">
      <c r="A119" s="49"/>
      <c r="B119" s="50" t="s">
        <v>177</v>
      </c>
      <c r="C119" s="51" t="s">
        <v>178</v>
      </c>
      <c r="D119" s="52" t="s">
        <v>26</v>
      </c>
      <c r="E119" s="106"/>
      <c r="F119" s="53">
        <f t="shared" ref="F119:N119" si="27">F120</f>
        <v>51863.8</v>
      </c>
      <c r="G119" s="53">
        <f t="shared" si="27"/>
        <v>0</v>
      </c>
      <c r="H119" s="53">
        <f t="shared" si="27"/>
        <v>51863.8</v>
      </c>
      <c r="I119" s="54">
        <f t="shared" si="27"/>
        <v>0</v>
      </c>
      <c r="J119" s="53">
        <f t="shared" si="27"/>
        <v>0</v>
      </c>
      <c r="K119" s="54">
        <f t="shared" si="27"/>
        <v>0</v>
      </c>
      <c r="L119" s="53">
        <f t="shared" si="27"/>
        <v>51863.8</v>
      </c>
      <c r="M119" s="53">
        <f t="shared" si="27"/>
        <v>0</v>
      </c>
      <c r="N119" s="53">
        <f t="shared" si="27"/>
        <v>51863.8</v>
      </c>
      <c r="O119" s="95"/>
      <c r="P119" s="95"/>
      <c r="Q119" s="55"/>
    </row>
    <row r="120" spans="1:17" ht="34.9" customHeight="1" x14ac:dyDescent="0.2">
      <c r="A120" s="42"/>
      <c r="B120" s="43" t="s">
        <v>179</v>
      </c>
      <c r="C120" s="44" t="s">
        <v>180</v>
      </c>
      <c r="D120" s="45" t="s">
        <v>26</v>
      </c>
      <c r="E120" s="105"/>
      <c r="F120" s="46">
        <f>F121+F123+F125+F127+F129+F131</f>
        <v>51863.8</v>
      </c>
      <c r="G120" s="46">
        <f>G121+G123+G125+G127+G129+G131</f>
        <v>0</v>
      </c>
      <c r="H120" s="46">
        <f>H121+H123+H125+H127+H129+H131</f>
        <v>51863.8</v>
      </c>
      <c r="I120" s="47">
        <f>I121+I123+I125+I127+I129+I131</f>
        <v>0</v>
      </c>
      <c r="J120" s="88"/>
      <c r="K120" s="47">
        <f>K121+K123+K125+K127+K129+K131</f>
        <v>0</v>
      </c>
      <c r="L120" s="46">
        <f>L121+L123+L125+L127+L129+L131</f>
        <v>51863.8</v>
      </c>
      <c r="M120" s="46">
        <f>M121+M123+M125+M127+M129+M131</f>
        <v>0</v>
      </c>
      <c r="N120" s="46">
        <f>N121+N123+N125+N127+N129+N131</f>
        <v>51863.8</v>
      </c>
      <c r="O120" s="94"/>
      <c r="P120" s="94"/>
      <c r="Q120" s="48"/>
    </row>
    <row r="121" spans="1:17" ht="15.75" x14ac:dyDescent="0.2">
      <c r="A121" s="42"/>
      <c r="B121" s="43" t="s">
        <v>181</v>
      </c>
      <c r="C121" s="44" t="s">
        <v>182</v>
      </c>
      <c r="D121" s="45" t="s">
        <v>26</v>
      </c>
      <c r="E121" s="105"/>
      <c r="F121" s="46">
        <f>F122</f>
        <v>28601.8</v>
      </c>
      <c r="G121" s="46">
        <f>G122</f>
        <v>0</v>
      </c>
      <c r="H121" s="46">
        <f>H122</f>
        <v>28601.8</v>
      </c>
      <c r="I121" s="47">
        <f>I122</f>
        <v>0</v>
      </c>
      <c r="J121" s="88"/>
      <c r="K121" s="47">
        <f>K122</f>
        <v>0</v>
      </c>
      <c r="L121" s="46">
        <f>L122</f>
        <v>28601.8</v>
      </c>
      <c r="M121" s="46">
        <f>M122</f>
        <v>0</v>
      </c>
      <c r="N121" s="46">
        <f>N122</f>
        <v>28601.8</v>
      </c>
      <c r="O121" s="94"/>
      <c r="P121" s="94"/>
    </row>
    <row r="122" spans="1:17" ht="31.5" x14ac:dyDescent="0.2">
      <c r="A122" s="42"/>
      <c r="B122" s="43" t="s">
        <v>35</v>
      </c>
      <c r="C122" s="44" t="s">
        <v>182</v>
      </c>
      <c r="D122" s="45" t="s">
        <v>36</v>
      </c>
      <c r="E122" s="105"/>
      <c r="F122" s="46">
        <v>28601.8</v>
      </c>
      <c r="G122" s="46"/>
      <c r="H122" s="46">
        <v>28601.8</v>
      </c>
      <c r="I122" s="47">
        <v>0</v>
      </c>
      <c r="J122" s="88"/>
      <c r="K122" s="47">
        <v>0</v>
      </c>
      <c r="L122" s="46">
        <v>28601.8</v>
      </c>
      <c r="M122" s="46"/>
      <c r="N122" s="46">
        <v>28601.8</v>
      </c>
      <c r="O122" s="94"/>
      <c r="P122" s="94"/>
    </row>
    <row r="123" spans="1:17" ht="15.75" x14ac:dyDescent="0.2">
      <c r="A123" s="42"/>
      <c r="B123" s="43" t="s">
        <v>183</v>
      </c>
      <c r="C123" s="44" t="s">
        <v>184</v>
      </c>
      <c r="D123" s="45" t="s">
        <v>26</v>
      </c>
      <c r="E123" s="105"/>
      <c r="F123" s="46">
        <f>F124</f>
        <v>3000</v>
      </c>
      <c r="G123" s="46">
        <f>G124</f>
        <v>0</v>
      </c>
      <c r="H123" s="46">
        <f>H124</f>
        <v>3000</v>
      </c>
      <c r="I123" s="47">
        <f>I124</f>
        <v>0</v>
      </c>
      <c r="J123" s="88"/>
      <c r="K123" s="47">
        <f>K124</f>
        <v>0</v>
      </c>
      <c r="L123" s="46">
        <f>L124</f>
        <v>3000</v>
      </c>
      <c r="M123" s="46">
        <f>M124</f>
        <v>0</v>
      </c>
      <c r="N123" s="46">
        <f>N124</f>
        <v>3000</v>
      </c>
      <c r="O123" s="94"/>
      <c r="P123" s="94"/>
    </row>
    <row r="124" spans="1:17" ht="31.5" x14ac:dyDescent="0.2">
      <c r="A124" s="42"/>
      <c r="B124" s="43" t="s">
        <v>35</v>
      </c>
      <c r="C124" s="44" t="s">
        <v>184</v>
      </c>
      <c r="D124" s="45" t="s">
        <v>36</v>
      </c>
      <c r="E124" s="105"/>
      <c r="F124" s="46">
        <v>3000</v>
      </c>
      <c r="G124" s="46"/>
      <c r="H124" s="46">
        <v>3000</v>
      </c>
      <c r="I124" s="47">
        <v>0</v>
      </c>
      <c r="J124" s="88"/>
      <c r="K124" s="47">
        <v>0</v>
      </c>
      <c r="L124" s="46">
        <v>3000</v>
      </c>
      <c r="M124" s="46"/>
      <c r="N124" s="46">
        <v>3000</v>
      </c>
      <c r="O124" s="94"/>
      <c r="P124" s="94"/>
    </row>
    <row r="125" spans="1:17" ht="15.75" x14ac:dyDescent="0.2">
      <c r="A125" s="42"/>
      <c r="B125" s="43" t="s">
        <v>185</v>
      </c>
      <c r="C125" s="44" t="s">
        <v>186</v>
      </c>
      <c r="D125" s="45" t="s">
        <v>26</v>
      </c>
      <c r="E125" s="105"/>
      <c r="F125" s="46">
        <f>F126</f>
        <v>2550</v>
      </c>
      <c r="G125" s="46">
        <f>G126</f>
        <v>0</v>
      </c>
      <c r="H125" s="46">
        <f>H126</f>
        <v>2550</v>
      </c>
      <c r="I125" s="47">
        <f>I126</f>
        <v>0</v>
      </c>
      <c r="J125" s="88"/>
      <c r="K125" s="47">
        <f>K126</f>
        <v>0</v>
      </c>
      <c r="L125" s="46">
        <f>L126</f>
        <v>2550</v>
      </c>
      <c r="M125" s="46">
        <f>M126</f>
        <v>0</v>
      </c>
      <c r="N125" s="46">
        <f>N126</f>
        <v>2550</v>
      </c>
      <c r="O125" s="94"/>
      <c r="P125" s="94"/>
    </row>
    <row r="126" spans="1:17" ht="31.5" x14ac:dyDescent="0.2">
      <c r="A126" s="42"/>
      <c r="B126" s="43" t="s">
        <v>35</v>
      </c>
      <c r="C126" s="44" t="s">
        <v>186</v>
      </c>
      <c r="D126" s="45" t="s">
        <v>36</v>
      </c>
      <c r="E126" s="105"/>
      <c r="F126" s="46">
        <v>2550</v>
      </c>
      <c r="G126" s="46"/>
      <c r="H126" s="46">
        <v>2550</v>
      </c>
      <c r="I126" s="47">
        <v>0</v>
      </c>
      <c r="J126" s="88"/>
      <c r="K126" s="47">
        <v>0</v>
      </c>
      <c r="L126" s="46">
        <v>2550</v>
      </c>
      <c r="M126" s="46"/>
      <c r="N126" s="46">
        <v>2550</v>
      </c>
      <c r="O126" s="94"/>
      <c r="P126" s="94"/>
    </row>
    <row r="127" spans="1:17" ht="15.75" x14ac:dyDescent="0.2">
      <c r="A127" s="42"/>
      <c r="B127" s="43" t="s">
        <v>187</v>
      </c>
      <c r="C127" s="44" t="s">
        <v>188</v>
      </c>
      <c r="D127" s="45" t="s">
        <v>26</v>
      </c>
      <c r="E127" s="105"/>
      <c r="F127" s="46">
        <f>F128</f>
        <v>50</v>
      </c>
      <c r="G127" s="46">
        <f>G128</f>
        <v>0</v>
      </c>
      <c r="H127" s="46">
        <f>H128</f>
        <v>50</v>
      </c>
      <c r="I127" s="47">
        <f>I128</f>
        <v>0</v>
      </c>
      <c r="J127" s="88"/>
      <c r="K127" s="47">
        <f>K128</f>
        <v>0</v>
      </c>
      <c r="L127" s="46">
        <f>L128</f>
        <v>50</v>
      </c>
      <c r="M127" s="46">
        <f>M128</f>
        <v>0</v>
      </c>
      <c r="N127" s="46">
        <f>N128</f>
        <v>50</v>
      </c>
      <c r="O127" s="94"/>
      <c r="P127" s="94"/>
    </row>
    <row r="128" spans="1:17" ht="31.5" x14ac:dyDescent="0.2">
      <c r="A128" s="42"/>
      <c r="B128" s="43" t="s">
        <v>35</v>
      </c>
      <c r="C128" s="44" t="s">
        <v>188</v>
      </c>
      <c r="D128" s="45" t="s">
        <v>36</v>
      </c>
      <c r="E128" s="105"/>
      <c r="F128" s="46">
        <v>50</v>
      </c>
      <c r="G128" s="46"/>
      <c r="H128" s="46">
        <v>50</v>
      </c>
      <c r="I128" s="47">
        <v>0</v>
      </c>
      <c r="J128" s="88"/>
      <c r="K128" s="47">
        <v>0</v>
      </c>
      <c r="L128" s="46">
        <v>50</v>
      </c>
      <c r="M128" s="46"/>
      <c r="N128" s="46">
        <v>50</v>
      </c>
      <c r="O128" s="94"/>
      <c r="P128" s="94"/>
    </row>
    <row r="129" spans="1:16" ht="31.5" x14ac:dyDescent="0.2">
      <c r="A129" s="42"/>
      <c r="B129" s="43" t="s">
        <v>191</v>
      </c>
      <c r="C129" s="44" t="s">
        <v>192</v>
      </c>
      <c r="D129" s="45" t="s">
        <v>26</v>
      </c>
      <c r="E129" s="105"/>
      <c r="F129" s="46">
        <f>F130</f>
        <v>4100</v>
      </c>
      <c r="G129" s="46">
        <f>G130</f>
        <v>0</v>
      </c>
      <c r="H129" s="46">
        <f>H130</f>
        <v>4100</v>
      </c>
      <c r="I129" s="47">
        <f>I130</f>
        <v>0</v>
      </c>
      <c r="J129" s="88"/>
      <c r="K129" s="47">
        <f>K130</f>
        <v>0</v>
      </c>
      <c r="L129" s="46">
        <f>L130</f>
        <v>4100</v>
      </c>
      <c r="M129" s="46">
        <f>M130</f>
        <v>0</v>
      </c>
      <c r="N129" s="46">
        <f>N130</f>
        <v>4100</v>
      </c>
      <c r="O129" s="94"/>
      <c r="P129" s="94"/>
    </row>
    <row r="130" spans="1:16" ht="31.5" x14ac:dyDescent="0.2">
      <c r="A130" s="42"/>
      <c r="B130" s="43" t="s">
        <v>35</v>
      </c>
      <c r="C130" s="44" t="s">
        <v>192</v>
      </c>
      <c r="D130" s="45" t="s">
        <v>36</v>
      </c>
      <c r="E130" s="105"/>
      <c r="F130" s="46">
        <v>4100</v>
      </c>
      <c r="G130" s="46"/>
      <c r="H130" s="46">
        <v>4100</v>
      </c>
      <c r="I130" s="47">
        <v>0</v>
      </c>
      <c r="J130" s="88"/>
      <c r="K130" s="47">
        <v>0</v>
      </c>
      <c r="L130" s="46">
        <v>4100</v>
      </c>
      <c r="M130" s="46"/>
      <c r="N130" s="46">
        <v>4100</v>
      </c>
      <c r="O130" s="94"/>
      <c r="P130" s="94"/>
    </row>
    <row r="131" spans="1:16" ht="34.9" customHeight="1" x14ac:dyDescent="0.2">
      <c r="A131" s="42"/>
      <c r="B131" s="43" t="s">
        <v>193</v>
      </c>
      <c r="C131" s="44" t="s">
        <v>194</v>
      </c>
      <c r="D131" s="45" t="s">
        <v>26</v>
      </c>
      <c r="E131" s="105"/>
      <c r="F131" s="46">
        <f>F132</f>
        <v>13562</v>
      </c>
      <c r="G131" s="46">
        <f>G132</f>
        <v>0</v>
      </c>
      <c r="H131" s="46">
        <f>H132</f>
        <v>13562</v>
      </c>
      <c r="I131" s="47">
        <f>I132</f>
        <v>0</v>
      </c>
      <c r="J131" s="88"/>
      <c r="K131" s="47">
        <f>K132</f>
        <v>0</v>
      </c>
      <c r="L131" s="46">
        <f>L132</f>
        <v>13562</v>
      </c>
      <c r="M131" s="46">
        <f>M132</f>
        <v>0</v>
      </c>
      <c r="N131" s="46">
        <f>N132</f>
        <v>13562</v>
      </c>
      <c r="O131" s="94"/>
      <c r="P131" s="94"/>
    </row>
    <row r="132" spans="1:16" ht="31.5" x14ac:dyDescent="0.2">
      <c r="A132" s="42"/>
      <c r="B132" s="43" t="s">
        <v>35</v>
      </c>
      <c r="C132" s="44" t="s">
        <v>194</v>
      </c>
      <c r="D132" s="45" t="s">
        <v>36</v>
      </c>
      <c r="E132" s="105"/>
      <c r="F132" s="56">
        <f>4350+9212</f>
        <v>13562</v>
      </c>
      <c r="G132" s="56"/>
      <c r="H132" s="56">
        <f>4350+9212</f>
        <v>13562</v>
      </c>
      <c r="I132" s="47">
        <v>0</v>
      </c>
      <c r="J132" s="111"/>
      <c r="K132" s="47">
        <v>0</v>
      </c>
      <c r="L132" s="56">
        <f>4350+9212</f>
        <v>13562</v>
      </c>
      <c r="M132" s="56"/>
      <c r="N132" s="56">
        <f>4350+9212</f>
        <v>13562</v>
      </c>
      <c r="O132" s="94"/>
      <c r="P132" s="94"/>
    </row>
    <row r="133" spans="1:16" ht="21.6" customHeight="1" x14ac:dyDescent="0.2">
      <c r="A133" s="49"/>
      <c r="B133" s="50" t="s">
        <v>195</v>
      </c>
      <c r="C133" s="51" t="s">
        <v>196</v>
      </c>
      <c r="D133" s="52" t="s">
        <v>26</v>
      </c>
      <c r="E133" s="106"/>
      <c r="F133" s="53">
        <f t="shared" ref="F133:N133" si="28">F134</f>
        <v>4743.5</v>
      </c>
      <c r="G133" s="53">
        <f t="shared" si="28"/>
        <v>0</v>
      </c>
      <c r="H133" s="53">
        <f t="shared" si="28"/>
        <v>4743.5</v>
      </c>
      <c r="I133" s="54">
        <f t="shared" si="28"/>
        <v>0</v>
      </c>
      <c r="J133" s="53">
        <f t="shared" si="28"/>
        <v>0</v>
      </c>
      <c r="K133" s="54">
        <f t="shared" si="28"/>
        <v>0</v>
      </c>
      <c r="L133" s="53">
        <f t="shared" si="28"/>
        <v>4743.5</v>
      </c>
      <c r="M133" s="53">
        <f t="shared" si="28"/>
        <v>0</v>
      </c>
      <c r="N133" s="53">
        <f t="shared" si="28"/>
        <v>4743.5</v>
      </c>
      <c r="O133" s="95"/>
      <c r="P133" s="95"/>
    </row>
    <row r="134" spans="1:16" ht="31.5" x14ac:dyDescent="0.2">
      <c r="A134" s="42"/>
      <c r="B134" s="43" t="s">
        <v>197</v>
      </c>
      <c r="C134" s="44" t="s">
        <v>198</v>
      </c>
      <c r="D134" s="45" t="s">
        <v>26</v>
      </c>
      <c r="E134" s="105"/>
      <c r="F134" s="46">
        <f>F135+F137</f>
        <v>4743.5</v>
      </c>
      <c r="G134" s="46">
        <f>G135+G137</f>
        <v>0</v>
      </c>
      <c r="H134" s="46">
        <f>H135+H137</f>
        <v>4743.5</v>
      </c>
      <c r="I134" s="47">
        <f>I135+I137</f>
        <v>0</v>
      </c>
      <c r="J134" s="88"/>
      <c r="K134" s="47">
        <f>K135+K137</f>
        <v>0</v>
      </c>
      <c r="L134" s="46">
        <f>L135+L137</f>
        <v>4743.5</v>
      </c>
      <c r="M134" s="46">
        <f>M135+M137</f>
        <v>0</v>
      </c>
      <c r="N134" s="46">
        <f>N135+N137</f>
        <v>4743.5</v>
      </c>
      <c r="O134" s="94"/>
      <c r="P134" s="94"/>
    </row>
    <row r="135" spans="1:16" ht="31.9" customHeight="1" x14ac:dyDescent="0.2">
      <c r="A135" s="42"/>
      <c r="B135" s="43" t="s">
        <v>199</v>
      </c>
      <c r="C135" s="44" t="s">
        <v>200</v>
      </c>
      <c r="D135" s="45" t="s">
        <v>26</v>
      </c>
      <c r="E135" s="105"/>
      <c r="F135" s="46">
        <f>F136</f>
        <v>2400</v>
      </c>
      <c r="G135" s="46">
        <f>G136</f>
        <v>0</v>
      </c>
      <c r="H135" s="46">
        <f>H136</f>
        <v>2400</v>
      </c>
      <c r="I135" s="47">
        <f>I136</f>
        <v>0</v>
      </c>
      <c r="J135" s="88"/>
      <c r="K135" s="47">
        <f>K136</f>
        <v>0</v>
      </c>
      <c r="L135" s="46">
        <f>L136</f>
        <v>2400</v>
      </c>
      <c r="M135" s="46">
        <f>M136</f>
        <v>0</v>
      </c>
      <c r="N135" s="46">
        <f>N136</f>
        <v>2400</v>
      </c>
      <c r="O135" s="94"/>
      <c r="P135" s="94"/>
    </row>
    <row r="136" spans="1:16" ht="31.5" x14ac:dyDescent="0.2">
      <c r="A136" s="42"/>
      <c r="B136" s="43" t="s">
        <v>35</v>
      </c>
      <c r="C136" s="44" t="s">
        <v>200</v>
      </c>
      <c r="D136" s="45" t="s">
        <v>36</v>
      </c>
      <c r="E136" s="105"/>
      <c r="F136" s="46">
        <v>2400</v>
      </c>
      <c r="G136" s="46"/>
      <c r="H136" s="46">
        <v>2400</v>
      </c>
      <c r="I136" s="47">
        <v>0</v>
      </c>
      <c r="J136" s="88"/>
      <c r="K136" s="47">
        <v>0</v>
      </c>
      <c r="L136" s="46">
        <v>2400</v>
      </c>
      <c r="M136" s="46"/>
      <c r="N136" s="46">
        <v>2400</v>
      </c>
      <c r="O136" s="94"/>
      <c r="P136" s="94"/>
    </row>
    <row r="137" spans="1:16" ht="31.5" x14ac:dyDescent="0.2">
      <c r="A137" s="42"/>
      <c r="B137" s="43" t="s">
        <v>201</v>
      </c>
      <c r="C137" s="44" t="s">
        <v>202</v>
      </c>
      <c r="D137" s="45" t="s">
        <v>26</v>
      </c>
      <c r="E137" s="105"/>
      <c r="F137" s="46">
        <f>F138</f>
        <v>2343.5</v>
      </c>
      <c r="G137" s="46">
        <f>G138</f>
        <v>0</v>
      </c>
      <c r="H137" s="46">
        <f>H138</f>
        <v>2343.5</v>
      </c>
      <c r="I137" s="47">
        <f>I138</f>
        <v>0</v>
      </c>
      <c r="J137" s="88"/>
      <c r="K137" s="47">
        <f>K138</f>
        <v>0</v>
      </c>
      <c r="L137" s="46">
        <f>L138</f>
        <v>2343.5</v>
      </c>
      <c r="M137" s="46">
        <f>M138</f>
        <v>0</v>
      </c>
      <c r="N137" s="46">
        <f>N138</f>
        <v>2343.5</v>
      </c>
      <c r="O137" s="94"/>
      <c r="P137" s="94"/>
    </row>
    <row r="138" spans="1:16" ht="31.5" x14ac:dyDescent="0.2">
      <c r="A138" s="42"/>
      <c r="B138" s="43" t="s">
        <v>35</v>
      </c>
      <c r="C138" s="44" t="s">
        <v>202</v>
      </c>
      <c r="D138" s="45" t="s">
        <v>36</v>
      </c>
      <c r="E138" s="105"/>
      <c r="F138" s="56">
        <f>2843.5-500</f>
        <v>2343.5</v>
      </c>
      <c r="G138" s="56"/>
      <c r="H138" s="56">
        <f>2843.5-500</f>
        <v>2343.5</v>
      </c>
      <c r="I138" s="47">
        <v>0</v>
      </c>
      <c r="J138" s="111"/>
      <c r="K138" s="47">
        <v>0</v>
      </c>
      <c r="L138" s="56">
        <f>2843.5-500</f>
        <v>2343.5</v>
      </c>
      <c r="M138" s="56"/>
      <c r="N138" s="56">
        <f>2843.5-500</f>
        <v>2343.5</v>
      </c>
      <c r="O138" s="94"/>
      <c r="P138" s="94"/>
    </row>
    <row r="139" spans="1:16" ht="15.75" x14ac:dyDescent="0.2">
      <c r="A139" s="49"/>
      <c r="B139" s="50" t="s">
        <v>203</v>
      </c>
      <c r="C139" s="51" t="s">
        <v>204</v>
      </c>
      <c r="D139" s="52" t="s">
        <v>26</v>
      </c>
      <c r="E139" s="106"/>
      <c r="F139" s="53">
        <f t="shared" ref="F139:L139" si="29">F140+F143</f>
        <v>99462.8</v>
      </c>
      <c r="G139" s="53">
        <f>G140+G143+G147</f>
        <v>0</v>
      </c>
      <c r="H139" s="53">
        <f>H140+H143+H147</f>
        <v>99462.8</v>
      </c>
      <c r="I139" s="54">
        <f t="shared" si="29"/>
        <v>0</v>
      </c>
      <c r="J139" s="53">
        <f t="shared" si="29"/>
        <v>0</v>
      </c>
      <c r="K139" s="54">
        <f t="shared" si="29"/>
        <v>0</v>
      </c>
      <c r="L139" s="53">
        <f t="shared" si="29"/>
        <v>99462.8</v>
      </c>
      <c r="M139" s="53">
        <f>M140+M143+M147</f>
        <v>0</v>
      </c>
      <c r="N139" s="53">
        <f>N140+N143+N147</f>
        <v>99462.8</v>
      </c>
      <c r="O139" s="95"/>
      <c r="P139" s="95"/>
    </row>
    <row r="140" spans="1:16" ht="31.5" x14ac:dyDescent="0.2">
      <c r="A140" s="42"/>
      <c r="B140" s="43" t="s">
        <v>205</v>
      </c>
      <c r="C140" s="44" t="s">
        <v>206</v>
      </c>
      <c r="D140" s="45" t="s">
        <v>26</v>
      </c>
      <c r="E140" s="105"/>
      <c r="F140" s="46">
        <f t="shared" ref="F140:N141" si="30">F141</f>
        <v>7768.7</v>
      </c>
      <c r="G140" s="46">
        <f t="shared" si="30"/>
        <v>0</v>
      </c>
      <c r="H140" s="46">
        <f t="shared" si="30"/>
        <v>7768.7</v>
      </c>
      <c r="I140" s="47">
        <f t="shared" si="30"/>
        <v>0</v>
      </c>
      <c r="J140" s="88"/>
      <c r="K140" s="47">
        <f t="shared" si="30"/>
        <v>0</v>
      </c>
      <c r="L140" s="46">
        <f t="shared" si="30"/>
        <v>7768.7</v>
      </c>
      <c r="M140" s="46">
        <f t="shared" si="30"/>
        <v>0</v>
      </c>
      <c r="N140" s="46">
        <f t="shared" si="30"/>
        <v>7768.7</v>
      </c>
      <c r="O140" s="94"/>
      <c r="P140" s="94"/>
    </row>
    <row r="141" spans="1:16" ht="31.5" x14ac:dyDescent="0.2">
      <c r="A141" s="42"/>
      <c r="B141" s="43" t="s">
        <v>39</v>
      </c>
      <c r="C141" s="44" t="s">
        <v>207</v>
      </c>
      <c r="D141" s="45" t="s">
        <v>26</v>
      </c>
      <c r="E141" s="105"/>
      <c r="F141" s="46">
        <f t="shared" si="30"/>
        <v>7768.7</v>
      </c>
      <c r="G141" s="46">
        <f t="shared" si="30"/>
        <v>0</v>
      </c>
      <c r="H141" s="46">
        <f t="shared" si="30"/>
        <v>7768.7</v>
      </c>
      <c r="I141" s="47">
        <f t="shared" si="30"/>
        <v>0</v>
      </c>
      <c r="J141" s="88"/>
      <c r="K141" s="47">
        <f t="shared" si="30"/>
        <v>0</v>
      </c>
      <c r="L141" s="46">
        <f t="shared" si="30"/>
        <v>7768.7</v>
      </c>
      <c r="M141" s="46">
        <f t="shared" si="30"/>
        <v>0</v>
      </c>
      <c r="N141" s="46">
        <f t="shared" si="30"/>
        <v>7768.7</v>
      </c>
      <c r="O141" s="94"/>
      <c r="P141" s="94"/>
    </row>
    <row r="142" spans="1:16" ht="31.5" x14ac:dyDescent="0.2">
      <c r="A142" s="42"/>
      <c r="B142" s="43" t="s">
        <v>74</v>
      </c>
      <c r="C142" s="44" t="s">
        <v>207</v>
      </c>
      <c r="D142" s="45" t="s">
        <v>75</v>
      </c>
      <c r="E142" s="105"/>
      <c r="F142" s="46">
        <v>7768.7</v>
      </c>
      <c r="G142" s="46"/>
      <c r="H142" s="46">
        <v>7768.7</v>
      </c>
      <c r="I142" s="47">
        <v>0</v>
      </c>
      <c r="J142" s="88"/>
      <c r="K142" s="47">
        <v>0</v>
      </c>
      <c r="L142" s="46">
        <v>7768.7</v>
      </c>
      <c r="M142" s="46"/>
      <c r="N142" s="46">
        <v>7768.7</v>
      </c>
      <c r="O142" s="94"/>
      <c r="P142" s="94"/>
    </row>
    <row r="143" spans="1:16" ht="36" customHeight="1" x14ac:dyDescent="0.2">
      <c r="A143" s="42"/>
      <c r="B143" s="43" t="s">
        <v>208</v>
      </c>
      <c r="C143" s="44" t="s">
        <v>209</v>
      </c>
      <c r="D143" s="45" t="s">
        <v>26</v>
      </c>
      <c r="E143" s="105"/>
      <c r="F143" s="46">
        <f t="shared" ref="F143:N144" si="31">F144</f>
        <v>91694.1</v>
      </c>
      <c r="G143" s="46">
        <f t="shared" si="31"/>
        <v>0</v>
      </c>
      <c r="H143" s="46">
        <f t="shared" si="31"/>
        <v>91694.1</v>
      </c>
      <c r="I143" s="47">
        <f t="shared" si="31"/>
        <v>0</v>
      </c>
      <c r="J143" s="88"/>
      <c r="K143" s="47">
        <f t="shared" si="31"/>
        <v>0</v>
      </c>
      <c r="L143" s="46">
        <f t="shared" si="31"/>
        <v>91694.1</v>
      </c>
      <c r="M143" s="46">
        <f t="shared" si="31"/>
        <v>0</v>
      </c>
      <c r="N143" s="46">
        <f t="shared" si="31"/>
        <v>91694.1</v>
      </c>
      <c r="O143" s="94"/>
      <c r="P143" s="94"/>
    </row>
    <row r="144" spans="1:16" ht="31.5" x14ac:dyDescent="0.2">
      <c r="A144" s="42"/>
      <c r="B144" s="43" t="s">
        <v>39</v>
      </c>
      <c r="C144" s="44" t="s">
        <v>210</v>
      </c>
      <c r="D144" s="45" t="s">
        <v>26</v>
      </c>
      <c r="E144" s="105"/>
      <c r="F144" s="46">
        <f t="shared" si="31"/>
        <v>91694.1</v>
      </c>
      <c r="G144" s="46">
        <f t="shared" si="31"/>
        <v>0</v>
      </c>
      <c r="H144" s="46">
        <f t="shared" si="31"/>
        <v>91694.1</v>
      </c>
      <c r="I144" s="47">
        <f t="shared" si="31"/>
        <v>0</v>
      </c>
      <c r="J144" s="88"/>
      <c r="K144" s="47">
        <f t="shared" si="31"/>
        <v>0</v>
      </c>
      <c r="L144" s="46">
        <f t="shared" si="31"/>
        <v>91694.1</v>
      </c>
      <c r="M144" s="46">
        <f t="shared" si="31"/>
        <v>0</v>
      </c>
      <c r="N144" s="46">
        <f t="shared" si="31"/>
        <v>91694.1</v>
      </c>
      <c r="O144" s="94"/>
      <c r="P144" s="94"/>
    </row>
    <row r="145" spans="1:17" ht="30.75" customHeight="1" x14ac:dyDescent="0.2">
      <c r="A145" s="42"/>
      <c r="B145" s="43" t="s">
        <v>74</v>
      </c>
      <c r="C145" s="44" t="s">
        <v>210</v>
      </c>
      <c r="D145" s="45" t="s">
        <v>75</v>
      </c>
      <c r="E145" s="105"/>
      <c r="F145" s="46">
        <v>91694.1</v>
      </c>
      <c r="G145" s="46"/>
      <c r="H145" s="46">
        <v>91694.1</v>
      </c>
      <c r="I145" s="47">
        <v>0</v>
      </c>
      <c r="J145" s="88"/>
      <c r="K145" s="47">
        <v>0</v>
      </c>
      <c r="L145" s="46">
        <v>91694.1</v>
      </c>
      <c r="M145" s="46"/>
      <c r="N145" s="46">
        <v>91694.1</v>
      </c>
      <c r="O145" s="94"/>
      <c r="P145" s="94"/>
    </row>
    <row r="146" spans="1:17" ht="31.5" hidden="1" customHeight="1" x14ac:dyDescent="0.2">
      <c r="A146" s="42"/>
      <c r="B146" s="43"/>
      <c r="C146" s="44" t="s">
        <v>215</v>
      </c>
      <c r="D146" s="45"/>
      <c r="E146" s="105"/>
      <c r="F146" s="46"/>
      <c r="G146" s="46"/>
      <c r="H146" s="46"/>
      <c r="I146" s="47"/>
      <c r="J146" s="88"/>
      <c r="K146" s="47"/>
      <c r="L146" s="46"/>
      <c r="M146" s="46"/>
      <c r="N146" s="46"/>
      <c r="O146" s="94"/>
      <c r="P146" s="94"/>
    </row>
    <row r="147" spans="1:17" ht="49.5" customHeight="1" x14ac:dyDescent="0.2">
      <c r="A147" s="42"/>
      <c r="B147" s="119" t="s">
        <v>214</v>
      </c>
      <c r="C147" s="44" t="s">
        <v>215</v>
      </c>
      <c r="D147" s="45"/>
      <c r="E147" s="105"/>
      <c r="F147" s="46"/>
      <c r="G147" s="46">
        <f>SUM(G148)</f>
        <v>0</v>
      </c>
      <c r="H147" s="46">
        <f>SUM(G147)</f>
        <v>0</v>
      </c>
      <c r="I147" s="47"/>
      <c r="J147" s="88"/>
      <c r="K147" s="47"/>
      <c r="L147" s="46"/>
      <c r="M147" s="46">
        <f t="shared" ref="M147:N149" si="32">SUM(G147)</f>
        <v>0</v>
      </c>
      <c r="N147" s="46">
        <f t="shared" si="32"/>
        <v>0</v>
      </c>
      <c r="O147" s="94"/>
      <c r="P147" s="94"/>
    </row>
    <row r="148" spans="1:17" ht="63" x14ac:dyDescent="0.2">
      <c r="A148" s="42"/>
      <c r="B148" s="118" t="s">
        <v>216</v>
      </c>
      <c r="C148" s="44" t="s">
        <v>217</v>
      </c>
      <c r="D148" s="45"/>
      <c r="E148" s="105"/>
      <c r="F148" s="46"/>
      <c r="G148" s="46">
        <f>SUM(G149)</f>
        <v>0</v>
      </c>
      <c r="H148" s="46">
        <f>SUM(G148)</f>
        <v>0</v>
      </c>
      <c r="I148" s="47"/>
      <c r="J148" s="88"/>
      <c r="K148" s="47"/>
      <c r="L148" s="46"/>
      <c r="M148" s="46">
        <f t="shared" si="32"/>
        <v>0</v>
      </c>
      <c r="N148" s="46">
        <f t="shared" si="32"/>
        <v>0</v>
      </c>
      <c r="O148" s="94"/>
      <c r="P148" s="94"/>
    </row>
    <row r="149" spans="1:17" ht="31.5" x14ac:dyDescent="0.2">
      <c r="A149" s="42"/>
      <c r="B149" s="43" t="s">
        <v>74</v>
      </c>
      <c r="C149" s="44" t="s">
        <v>217</v>
      </c>
      <c r="D149" s="45" t="s">
        <v>75</v>
      </c>
      <c r="E149" s="105"/>
      <c r="F149" s="46"/>
      <c r="G149" s="46"/>
      <c r="H149" s="46">
        <f>SUM(G149)</f>
        <v>0</v>
      </c>
      <c r="I149" s="47"/>
      <c r="J149" s="88"/>
      <c r="K149" s="47"/>
      <c r="L149" s="46"/>
      <c r="M149" s="46">
        <f t="shared" si="32"/>
        <v>0</v>
      </c>
      <c r="N149" s="46">
        <f t="shared" si="32"/>
        <v>0</v>
      </c>
      <c r="O149" s="94"/>
      <c r="P149" s="94"/>
    </row>
    <row r="150" spans="1:17" ht="31.5" x14ac:dyDescent="0.2">
      <c r="A150" s="19" t="s">
        <v>218</v>
      </c>
      <c r="B150" s="20" t="s">
        <v>219</v>
      </c>
      <c r="C150" s="21" t="s">
        <v>220</v>
      </c>
      <c r="D150" s="22" t="s">
        <v>26</v>
      </c>
      <c r="E150" s="104"/>
      <c r="F150" s="23">
        <f>F155+F160+F165+F169+F151</f>
        <v>5351.2000000000007</v>
      </c>
      <c r="G150" s="23">
        <f>G155+G160+G165+G169+G151</f>
        <v>0</v>
      </c>
      <c r="H150" s="23">
        <f>H155+H160+H165+H169+H151</f>
        <v>5351.2000000000007</v>
      </c>
      <c r="I150" s="24">
        <f>I155+I160+I165+I169</f>
        <v>9262.4</v>
      </c>
      <c r="J150" s="23">
        <f>J155+J160+J165+J169+J151</f>
        <v>0</v>
      </c>
      <c r="K150" s="24">
        <f>K155+K160+K165+K169</f>
        <v>9262.4</v>
      </c>
      <c r="L150" s="23">
        <f>L155+L160+L165+L169+L151</f>
        <v>14613.6</v>
      </c>
      <c r="M150" s="23">
        <f>M155+M160+M165+M169+M151</f>
        <v>0</v>
      </c>
      <c r="N150" s="23">
        <f>N155+N160+N165+N169+N151</f>
        <v>14613.6</v>
      </c>
      <c r="O150" s="93"/>
      <c r="P150" s="93"/>
      <c r="Q150" s="25"/>
    </row>
    <row r="151" spans="1:17" ht="15.75" x14ac:dyDescent="0.2">
      <c r="A151" s="19"/>
      <c r="B151" s="50" t="s">
        <v>221</v>
      </c>
      <c r="C151" s="51" t="s">
        <v>222</v>
      </c>
      <c r="D151" s="52"/>
      <c r="E151" s="106"/>
      <c r="F151" s="53">
        <v>400</v>
      </c>
      <c r="G151" s="53"/>
      <c r="H151" s="53">
        <v>400</v>
      </c>
      <c r="I151" s="54"/>
      <c r="J151" s="87"/>
      <c r="K151" s="54"/>
      <c r="L151" s="53">
        <v>400</v>
      </c>
      <c r="M151" s="53"/>
      <c r="N151" s="53">
        <v>400</v>
      </c>
      <c r="O151" s="95"/>
      <c r="P151" s="95"/>
      <c r="Q151" s="25"/>
    </row>
    <row r="152" spans="1:17" ht="19.149999999999999" customHeight="1" x14ac:dyDescent="0.2">
      <c r="A152" s="19"/>
      <c r="B152" s="43" t="s">
        <v>223</v>
      </c>
      <c r="C152" s="44" t="s">
        <v>224</v>
      </c>
      <c r="D152" s="45"/>
      <c r="E152" s="105"/>
      <c r="F152" s="46">
        <v>400</v>
      </c>
      <c r="G152" s="46"/>
      <c r="H152" s="46">
        <v>400</v>
      </c>
      <c r="I152" s="47"/>
      <c r="J152" s="88"/>
      <c r="K152" s="47"/>
      <c r="L152" s="46">
        <v>400</v>
      </c>
      <c r="M152" s="46"/>
      <c r="N152" s="46">
        <v>400</v>
      </c>
      <c r="O152" s="94"/>
      <c r="P152" s="94"/>
      <c r="Q152" s="25"/>
    </row>
    <row r="153" spans="1:17" ht="15.75" x14ac:dyDescent="0.2">
      <c r="A153" s="19"/>
      <c r="B153" s="43" t="s">
        <v>67</v>
      </c>
      <c r="C153" s="44" t="s">
        <v>225</v>
      </c>
      <c r="D153" s="45"/>
      <c r="E153" s="105"/>
      <c r="F153" s="46">
        <v>400</v>
      </c>
      <c r="G153" s="46"/>
      <c r="H153" s="46">
        <v>400</v>
      </c>
      <c r="I153" s="47"/>
      <c r="J153" s="88"/>
      <c r="K153" s="47"/>
      <c r="L153" s="46">
        <v>400</v>
      </c>
      <c r="M153" s="46"/>
      <c r="N153" s="46">
        <v>400</v>
      </c>
      <c r="O153" s="94"/>
      <c r="P153" s="94"/>
      <c r="Q153" s="25"/>
    </row>
    <row r="154" spans="1:17" ht="31.5" x14ac:dyDescent="0.2">
      <c r="A154" s="19"/>
      <c r="B154" s="43" t="s">
        <v>35</v>
      </c>
      <c r="C154" s="44" t="s">
        <v>225</v>
      </c>
      <c r="D154" s="45" t="s">
        <v>36</v>
      </c>
      <c r="E154" s="105"/>
      <c r="F154" s="46">
        <v>400</v>
      </c>
      <c r="G154" s="46"/>
      <c r="H154" s="46">
        <v>400</v>
      </c>
      <c r="I154" s="47"/>
      <c r="J154" s="88"/>
      <c r="K154" s="47"/>
      <c r="L154" s="46">
        <v>400</v>
      </c>
      <c r="M154" s="46"/>
      <c r="N154" s="46">
        <v>400</v>
      </c>
      <c r="O154" s="94"/>
      <c r="P154" s="94"/>
      <c r="Q154" s="25"/>
    </row>
    <row r="155" spans="1:17" ht="31.5" x14ac:dyDescent="0.2">
      <c r="A155" s="49"/>
      <c r="B155" s="72" t="s">
        <v>226</v>
      </c>
      <c r="C155" s="73" t="s">
        <v>227</v>
      </c>
      <c r="D155" s="74" t="s">
        <v>26</v>
      </c>
      <c r="E155" s="107"/>
      <c r="F155" s="75">
        <f t="shared" ref="F155:H156" si="33">F156</f>
        <v>330</v>
      </c>
      <c r="G155" s="75">
        <f t="shared" si="33"/>
        <v>0</v>
      </c>
      <c r="H155" s="75">
        <f t="shared" si="33"/>
        <v>330</v>
      </c>
      <c r="I155" s="76">
        <f t="shared" ref="I155:K156" si="34">I156</f>
        <v>0</v>
      </c>
      <c r="J155" s="112"/>
      <c r="K155" s="76">
        <f t="shared" si="34"/>
        <v>0</v>
      </c>
      <c r="L155" s="75">
        <f t="shared" ref="L155:N156" si="35">L156</f>
        <v>330</v>
      </c>
      <c r="M155" s="75">
        <f t="shared" si="35"/>
        <v>0</v>
      </c>
      <c r="N155" s="75">
        <f t="shared" si="35"/>
        <v>330</v>
      </c>
      <c r="O155" s="96"/>
      <c r="P155" s="96"/>
    </row>
    <row r="156" spans="1:17" ht="31.5" x14ac:dyDescent="0.2">
      <c r="A156" s="42"/>
      <c r="B156" s="43" t="s">
        <v>228</v>
      </c>
      <c r="C156" s="44" t="s">
        <v>229</v>
      </c>
      <c r="D156" s="45" t="s">
        <v>26</v>
      </c>
      <c r="E156" s="105"/>
      <c r="F156" s="46">
        <f t="shared" si="33"/>
        <v>330</v>
      </c>
      <c r="G156" s="46">
        <f t="shared" si="33"/>
        <v>0</v>
      </c>
      <c r="H156" s="46">
        <f t="shared" si="33"/>
        <v>330</v>
      </c>
      <c r="I156" s="47">
        <f t="shared" si="34"/>
        <v>0</v>
      </c>
      <c r="J156" s="88"/>
      <c r="K156" s="47">
        <f t="shared" si="34"/>
        <v>0</v>
      </c>
      <c r="L156" s="46">
        <f t="shared" si="35"/>
        <v>330</v>
      </c>
      <c r="M156" s="46">
        <f t="shared" si="35"/>
        <v>0</v>
      </c>
      <c r="N156" s="46">
        <f t="shared" si="35"/>
        <v>330</v>
      </c>
      <c r="O156" s="94"/>
      <c r="P156" s="94"/>
    </row>
    <row r="157" spans="1:17" ht="31.5" x14ac:dyDescent="0.2">
      <c r="A157" s="42"/>
      <c r="B157" s="43" t="s">
        <v>226</v>
      </c>
      <c r="C157" s="44" t="s">
        <v>230</v>
      </c>
      <c r="D157" s="45" t="s">
        <v>26</v>
      </c>
      <c r="E157" s="105"/>
      <c r="F157" s="46">
        <f>F159+F158</f>
        <v>330</v>
      </c>
      <c r="G157" s="46">
        <f>G159+G158</f>
        <v>0</v>
      </c>
      <c r="H157" s="46">
        <f>H159+H158</f>
        <v>330</v>
      </c>
      <c r="I157" s="47">
        <f>I159+I158</f>
        <v>0</v>
      </c>
      <c r="J157" s="88"/>
      <c r="K157" s="47">
        <f>K159+K158</f>
        <v>0</v>
      </c>
      <c r="L157" s="46">
        <f>L159+L158</f>
        <v>330</v>
      </c>
      <c r="M157" s="46">
        <f>M159+M158</f>
        <v>0</v>
      </c>
      <c r="N157" s="46">
        <f>N159+N158</f>
        <v>330</v>
      </c>
      <c r="O157" s="97"/>
      <c r="P157" s="97"/>
    </row>
    <row r="158" spans="1:17" ht="31.5" x14ac:dyDescent="0.2">
      <c r="A158" s="42"/>
      <c r="B158" s="43" t="s">
        <v>35</v>
      </c>
      <c r="C158" s="44" t="s">
        <v>230</v>
      </c>
      <c r="D158" s="45" t="s">
        <v>36</v>
      </c>
      <c r="E158" s="105"/>
      <c r="F158" s="46">
        <v>200</v>
      </c>
      <c r="G158" s="46"/>
      <c r="H158" s="46">
        <v>200</v>
      </c>
      <c r="I158" s="47">
        <v>0</v>
      </c>
      <c r="J158" s="88"/>
      <c r="K158" s="47">
        <v>0</v>
      </c>
      <c r="L158" s="46">
        <v>200</v>
      </c>
      <c r="M158" s="46"/>
      <c r="N158" s="46">
        <v>200</v>
      </c>
      <c r="O158" s="94"/>
      <c r="P158" s="94"/>
    </row>
    <row r="159" spans="1:17" ht="15.75" x14ac:dyDescent="0.2">
      <c r="A159" s="42"/>
      <c r="B159" s="43" t="s">
        <v>41</v>
      </c>
      <c r="C159" s="44" t="s">
        <v>230</v>
      </c>
      <c r="D159" s="45" t="s">
        <v>42</v>
      </c>
      <c r="E159" s="105"/>
      <c r="F159" s="46">
        <v>130</v>
      </c>
      <c r="G159" s="46"/>
      <c r="H159" s="46">
        <v>130</v>
      </c>
      <c r="I159" s="47">
        <v>0</v>
      </c>
      <c r="J159" s="88"/>
      <c r="K159" s="47">
        <v>0</v>
      </c>
      <c r="L159" s="46">
        <v>130</v>
      </c>
      <c r="M159" s="46"/>
      <c r="N159" s="46">
        <v>130</v>
      </c>
      <c r="O159" s="94"/>
      <c r="P159" s="94"/>
    </row>
    <row r="160" spans="1:17" ht="22.15" customHeight="1" x14ac:dyDescent="0.2">
      <c r="A160" s="49"/>
      <c r="B160" s="50" t="s">
        <v>231</v>
      </c>
      <c r="C160" s="51" t="s">
        <v>232</v>
      </c>
      <c r="D160" s="52" t="s">
        <v>26</v>
      </c>
      <c r="E160" s="106"/>
      <c r="F160" s="53">
        <f t="shared" ref="F160:N161" si="36">F161</f>
        <v>3933.6</v>
      </c>
      <c r="G160" s="53">
        <f t="shared" si="36"/>
        <v>0</v>
      </c>
      <c r="H160" s="53">
        <f t="shared" si="36"/>
        <v>3933.6</v>
      </c>
      <c r="I160" s="54">
        <f t="shared" si="36"/>
        <v>0</v>
      </c>
      <c r="J160" s="53">
        <f t="shared" si="36"/>
        <v>0</v>
      </c>
      <c r="K160" s="54">
        <f t="shared" si="36"/>
        <v>0</v>
      </c>
      <c r="L160" s="53">
        <f t="shared" si="36"/>
        <v>3933.6</v>
      </c>
      <c r="M160" s="53">
        <f t="shared" si="36"/>
        <v>0</v>
      </c>
      <c r="N160" s="53">
        <f t="shared" si="36"/>
        <v>3933.6</v>
      </c>
      <c r="O160" s="95"/>
      <c r="P160" s="95"/>
    </row>
    <row r="161" spans="1:16" ht="34.9" customHeight="1" x14ac:dyDescent="0.2">
      <c r="A161" s="42"/>
      <c r="B161" s="43" t="s">
        <v>233</v>
      </c>
      <c r="C161" s="44" t="s">
        <v>234</v>
      </c>
      <c r="D161" s="45" t="s">
        <v>26</v>
      </c>
      <c r="E161" s="105"/>
      <c r="F161" s="46">
        <f t="shared" si="36"/>
        <v>3933.6</v>
      </c>
      <c r="G161" s="46">
        <f t="shared" si="36"/>
        <v>0</v>
      </c>
      <c r="H161" s="46">
        <f t="shared" si="36"/>
        <v>3933.6</v>
      </c>
      <c r="I161" s="47">
        <f t="shared" si="36"/>
        <v>0</v>
      </c>
      <c r="J161" s="88"/>
      <c r="K161" s="47">
        <f t="shared" si="36"/>
        <v>0</v>
      </c>
      <c r="L161" s="46">
        <f t="shared" si="36"/>
        <v>3933.6</v>
      </c>
      <c r="M161" s="46">
        <f t="shared" si="36"/>
        <v>0</v>
      </c>
      <c r="N161" s="46">
        <f t="shared" si="36"/>
        <v>3933.6</v>
      </c>
      <c r="O161" s="94"/>
      <c r="P161" s="94"/>
    </row>
    <row r="162" spans="1:16" ht="31.5" x14ac:dyDescent="0.2">
      <c r="A162" s="42"/>
      <c r="B162" s="43" t="s">
        <v>39</v>
      </c>
      <c r="C162" s="44" t="s">
        <v>235</v>
      </c>
      <c r="D162" s="45" t="s">
        <v>26</v>
      </c>
      <c r="E162" s="105"/>
      <c r="F162" s="46">
        <f>F163+F164</f>
        <v>3933.6</v>
      </c>
      <c r="G162" s="46">
        <f>G163+G164</f>
        <v>0</v>
      </c>
      <c r="H162" s="46">
        <f>H163+H164</f>
        <v>3933.6</v>
      </c>
      <c r="I162" s="47">
        <f>I163+I164</f>
        <v>0</v>
      </c>
      <c r="J162" s="88"/>
      <c r="K162" s="47">
        <f>K163+K164</f>
        <v>0</v>
      </c>
      <c r="L162" s="46">
        <f>L163+L164</f>
        <v>3933.6</v>
      </c>
      <c r="M162" s="46">
        <f>M163+M164</f>
        <v>0</v>
      </c>
      <c r="N162" s="46">
        <f>N163+N164</f>
        <v>3933.6</v>
      </c>
      <c r="O162" s="94"/>
      <c r="P162" s="94"/>
    </row>
    <row r="163" spans="1:16" ht="66" customHeight="1" x14ac:dyDescent="0.2">
      <c r="A163" s="42"/>
      <c r="B163" s="43" t="s">
        <v>31</v>
      </c>
      <c r="C163" s="44" t="s">
        <v>235</v>
      </c>
      <c r="D163" s="45" t="s">
        <v>32</v>
      </c>
      <c r="E163" s="105"/>
      <c r="F163" s="46">
        <v>3788.1</v>
      </c>
      <c r="G163" s="46"/>
      <c r="H163" s="46">
        <v>3788.1</v>
      </c>
      <c r="I163" s="47">
        <v>0</v>
      </c>
      <c r="J163" s="88"/>
      <c r="K163" s="47">
        <v>0</v>
      </c>
      <c r="L163" s="46">
        <v>3788.1</v>
      </c>
      <c r="M163" s="46"/>
      <c r="N163" s="46">
        <v>3788.1</v>
      </c>
      <c r="O163" s="94"/>
      <c r="P163" s="94"/>
    </row>
    <row r="164" spans="1:16" ht="31.5" x14ac:dyDescent="0.2">
      <c r="A164" s="42"/>
      <c r="B164" s="43" t="s">
        <v>35</v>
      </c>
      <c r="C164" s="44" t="s">
        <v>235</v>
      </c>
      <c r="D164" s="45" t="s">
        <v>36</v>
      </c>
      <c r="E164" s="105"/>
      <c r="F164" s="46">
        <v>145.5</v>
      </c>
      <c r="G164" s="46"/>
      <c r="H164" s="46">
        <v>145.5</v>
      </c>
      <c r="I164" s="47">
        <v>0</v>
      </c>
      <c r="J164" s="88"/>
      <c r="K164" s="47">
        <v>0</v>
      </c>
      <c r="L164" s="46">
        <v>145.5</v>
      </c>
      <c r="M164" s="46"/>
      <c r="N164" s="46">
        <v>145.5</v>
      </c>
      <c r="O164" s="94"/>
      <c r="P164" s="94"/>
    </row>
    <row r="165" spans="1:16" ht="48.6" customHeight="1" x14ac:dyDescent="0.2">
      <c r="A165" s="49"/>
      <c r="B165" s="50" t="s">
        <v>236</v>
      </c>
      <c r="C165" s="51" t="s">
        <v>237</v>
      </c>
      <c r="D165" s="52" t="s">
        <v>26</v>
      </c>
      <c r="E165" s="106"/>
      <c r="F165" s="53">
        <f t="shared" ref="F165:H167" si="37">F166</f>
        <v>200</v>
      </c>
      <c r="G165" s="53">
        <f t="shared" si="37"/>
        <v>0</v>
      </c>
      <c r="H165" s="53">
        <f t="shared" si="37"/>
        <v>200</v>
      </c>
      <c r="I165" s="54">
        <f t="shared" ref="I165:K167" si="38">I166</f>
        <v>0</v>
      </c>
      <c r="J165" s="53">
        <f>J166</f>
        <v>0</v>
      </c>
      <c r="K165" s="54">
        <f t="shared" si="38"/>
        <v>0</v>
      </c>
      <c r="L165" s="53">
        <f t="shared" ref="L165:N167" si="39">L166</f>
        <v>200</v>
      </c>
      <c r="M165" s="53">
        <f t="shared" si="39"/>
        <v>0</v>
      </c>
      <c r="N165" s="53">
        <f t="shared" si="39"/>
        <v>200</v>
      </c>
      <c r="O165" s="95"/>
      <c r="P165" s="95"/>
    </row>
    <row r="166" spans="1:16" ht="33.6" customHeight="1" x14ac:dyDescent="0.2">
      <c r="A166" s="42"/>
      <c r="B166" s="43" t="s">
        <v>238</v>
      </c>
      <c r="C166" s="44" t="s">
        <v>239</v>
      </c>
      <c r="D166" s="45" t="s">
        <v>26</v>
      </c>
      <c r="E166" s="105"/>
      <c r="F166" s="46">
        <f t="shared" si="37"/>
        <v>200</v>
      </c>
      <c r="G166" s="46">
        <f t="shared" si="37"/>
        <v>0</v>
      </c>
      <c r="H166" s="46">
        <f t="shared" si="37"/>
        <v>200</v>
      </c>
      <c r="I166" s="47">
        <f t="shared" si="38"/>
        <v>0</v>
      </c>
      <c r="J166" s="88"/>
      <c r="K166" s="47">
        <f t="shared" si="38"/>
        <v>0</v>
      </c>
      <c r="L166" s="46">
        <f t="shared" si="39"/>
        <v>200</v>
      </c>
      <c r="M166" s="46">
        <f t="shared" si="39"/>
        <v>0</v>
      </c>
      <c r="N166" s="46">
        <f t="shared" si="39"/>
        <v>200</v>
      </c>
      <c r="O166" s="94"/>
      <c r="P166" s="94"/>
    </row>
    <row r="167" spans="1:16" ht="15.75" x14ac:dyDescent="0.2">
      <c r="A167" s="42"/>
      <c r="B167" s="43" t="s">
        <v>240</v>
      </c>
      <c r="C167" s="44" t="s">
        <v>241</v>
      </c>
      <c r="D167" s="45" t="s">
        <v>26</v>
      </c>
      <c r="E167" s="105"/>
      <c r="F167" s="46">
        <f t="shared" si="37"/>
        <v>200</v>
      </c>
      <c r="G167" s="46">
        <f t="shared" si="37"/>
        <v>0</v>
      </c>
      <c r="H167" s="46">
        <f t="shared" si="37"/>
        <v>200</v>
      </c>
      <c r="I167" s="47">
        <f t="shared" si="38"/>
        <v>0</v>
      </c>
      <c r="J167" s="88"/>
      <c r="K167" s="47">
        <f t="shared" si="38"/>
        <v>0</v>
      </c>
      <c r="L167" s="46">
        <f t="shared" si="39"/>
        <v>200</v>
      </c>
      <c r="M167" s="46">
        <f t="shared" si="39"/>
        <v>0</v>
      </c>
      <c r="N167" s="46">
        <f t="shared" si="39"/>
        <v>200</v>
      </c>
      <c r="O167" s="94"/>
      <c r="P167" s="94"/>
    </row>
    <row r="168" spans="1:16" ht="31.5" x14ac:dyDescent="0.2">
      <c r="A168" s="42"/>
      <c r="B168" s="43" t="s">
        <v>35</v>
      </c>
      <c r="C168" s="44" t="s">
        <v>241</v>
      </c>
      <c r="D168" s="45" t="s">
        <v>36</v>
      </c>
      <c r="E168" s="105"/>
      <c r="F168" s="46">
        <v>200</v>
      </c>
      <c r="G168" s="46"/>
      <c r="H168" s="46">
        <v>200</v>
      </c>
      <c r="I168" s="47">
        <v>0</v>
      </c>
      <c r="J168" s="88"/>
      <c r="K168" s="47">
        <v>0</v>
      </c>
      <c r="L168" s="46">
        <v>200</v>
      </c>
      <c r="M168" s="46"/>
      <c r="N168" s="46">
        <v>200</v>
      </c>
      <c r="O168" s="94"/>
      <c r="P168" s="94"/>
    </row>
    <row r="169" spans="1:16" ht="15.75" x14ac:dyDescent="0.2">
      <c r="A169" s="49"/>
      <c r="B169" s="50" t="s">
        <v>140</v>
      </c>
      <c r="C169" s="51" t="s">
        <v>242</v>
      </c>
      <c r="D169" s="52" t="s">
        <v>26</v>
      </c>
      <c r="E169" s="106"/>
      <c r="F169" s="53">
        <f t="shared" ref="F169:H171" si="40">F170</f>
        <v>487.6</v>
      </c>
      <c r="G169" s="53">
        <f t="shared" si="40"/>
        <v>0</v>
      </c>
      <c r="H169" s="53">
        <f t="shared" si="40"/>
        <v>487.6</v>
      </c>
      <c r="I169" s="54">
        <f t="shared" ref="I169:K171" si="41">I170</f>
        <v>9262.4</v>
      </c>
      <c r="J169" s="53">
        <f>J170</f>
        <v>0</v>
      </c>
      <c r="K169" s="54">
        <f t="shared" si="41"/>
        <v>9262.4</v>
      </c>
      <c r="L169" s="53">
        <f t="shared" ref="L169:N171" si="42">L170</f>
        <v>9750</v>
      </c>
      <c r="M169" s="53">
        <f t="shared" si="42"/>
        <v>0</v>
      </c>
      <c r="N169" s="53">
        <f t="shared" si="42"/>
        <v>9750</v>
      </c>
      <c r="O169" s="95"/>
      <c r="P169" s="95"/>
    </row>
    <row r="170" spans="1:16" ht="31.5" x14ac:dyDescent="0.2">
      <c r="A170" s="42"/>
      <c r="B170" s="43" t="s">
        <v>243</v>
      </c>
      <c r="C170" s="44" t="s">
        <v>244</v>
      </c>
      <c r="D170" s="45" t="s">
        <v>26</v>
      </c>
      <c r="E170" s="105"/>
      <c r="F170" s="46">
        <f t="shared" si="40"/>
        <v>487.6</v>
      </c>
      <c r="G170" s="46">
        <f t="shared" si="40"/>
        <v>0</v>
      </c>
      <c r="H170" s="46">
        <f t="shared" si="40"/>
        <v>487.6</v>
      </c>
      <c r="I170" s="47">
        <f t="shared" si="41"/>
        <v>9262.4</v>
      </c>
      <c r="J170" s="88"/>
      <c r="K170" s="47">
        <f t="shared" si="41"/>
        <v>9262.4</v>
      </c>
      <c r="L170" s="46">
        <f t="shared" si="42"/>
        <v>9750</v>
      </c>
      <c r="M170" s="46">
        <f t="shared" si="42"/>
        <v>0</v>
      </c>
      <c r="N170" s="46">
        <f t="shared" si="42"/>
        <v>9750</v>
      </c>
      <c r="O170" s="94"/>
      <c r="P170" s="94"/>
    </row>
    <row r="171" spans="1:16" ht="69.599999999999994" customHeight="1" x14ac:dyDescent="0.2">
      <c r="A171" s="42"/>
      <c r="B171" s="43" t="s">
        <v>245</v>
      </c>
      <c r="C171" s="44" t="s">
        <v>246</v>
      </c>
      <c r="D171" s="45" t="s">
        <v>26</v>
      </c>
      <c r="E171" s="105"/>
      <c r="F171" s="46">
        <f t="shared" si="40"/>
        <v>487.6</v>
      </c>
      <c r="G171" s="46">
        <f t="shared" si="40"/>
        <v>0</v>
      </c>
      <c r="H171" s="46">
        <f t="shared" si="40"/>
        <v>487.6</v>
      </c>
      <c r="I171" s="47">
        <f t="shared" si="41"/>
        <v>9262.4</v>
      </c>
      <c r="J171" s="88"/>
      <c r="K171" s="47">
        <f t="shared" si="41"/>
        <v>9262.4</v>
      </c>
      <c r="L171" s="46">
        <f t="shared" si="42"/>
        <v>9750</v>
      </c>
      <c r="M171" s="46">
        <f t="shared" si="42"/>
        <v>0</v>
      </c>
      <c r="N171" s="46">
        <f t="shared" si="42"/>
        <v>9750</v>
      </c>
      <c r="O171" s="94"/>
      <c r="P171" s="94"/>
    </row>
    <row r="172" spans="1:16" ht="31.5" x14ac:dyDescent="0.2">
      <c r="A172" s="42"/>
      <c r="B172" s="43" t="s">
        <v>131</v>
      </c>
      <c r="C172" s="44" t="s">
        <v>246</v>
      </c>
      <c r="D172" s="45" t="s">
        <v>132</v>
      </c>
      <c r="E172" s="105"/>
      <c r="F172" s="46">
        <v>487.6</v>
      </c>
      <c r="G172" s="46"/>
      <c r="H172" s="46">
        <v>487.6</v>
      </c>
      <c r="I172" s="47">
        <v>9262.4</v>
      </c>
      <c r="J172" s="88"/>
      <c r="K172" s="47">
        <v>9262.4</v>
      </c>
      <c r="L172" s="46">
        <f>487.6+I172</f>
        <v>9750</v>
      </c>
      <c r="M172" s="46"/>
      <c r="N172" s="46">
        <f>487.6+K172</f>
        <v>9750</v>
      </c>
      <c r="O172" s="94"/>
      <c r="P172" s="94"/>
    </row>
    <row r="173" spans="1:16" ht="31.5" x14ac:dyDescent="0.2">
      <c r="A173" s="19" t="s">
        <v>247</v>
      </c>
      <c r="B173" s="20" t="s">
        <v>248</v>
      </c>
      <c r="C173" s="21" t="s">
        <v>249</v>
      </c>
      <c r="D173" s="22" t="s">
        <v>26</v>
      </c>
      <c r="E173" s="104"/>
      <c r="F173" s="23">
        <f t="shared" ref="F173:N173" si="43">F174+F178</f>
        <v>5236</v>
      </c>
      <c r="G173" s="23">
        <f t="shared" si="43"/>
        <v>0</v>
      </c>
      <c r="H173" s="23">
        <f t="shared" si="43"/>
        <v>5236</v>
      </c>
      <c r="I173" s="24">
        <f t="shared" si="43"/>
        <v>0</v>
      </c>
      <c r="J173" s="23">
        <f t="shared" si="43"/>
        <v>0</v>
      </c>
      <c r="K173" s="24">
        <f t="shared" si="43"/>
        <v>0</v>
      </c>
      <c r="L173" s="23">
        <f t="shared" si="43"/>
        <v>5236</v>
      </c>
      <c r="M173" s="23">
        <f t="shared" si="43"/>
        <v>0</v>
      </c>
      <c r="N173" s="23">
        <f t="shared" si="43"/>
        <v>5236</v>
      </c>
      <c r="O173" s="93"/>
      <c r="P173" s="93"/>
    </row>
    <row r="174" spans="1:16" ht="15.75" x14ac:dyDescent="0.2">
      <c r="A174" s="49"/>
      <c r="B174" s="50" t="s">
        <v>250</v>
      </c>
      <c r="C174" s="51" t="s">
        <v>251</v>
      </c>
      <c r="D174" s="52" t="s">
        <v>26</v>
      </c>
      <c r="E174" s="106"/>
      <c r="F174" s="53">
        <f t="shared" ref="F174:H176" si="44">F175</f>
        <v>3500</v>
      </c>
      <c r="G174" s="53">
        <f t="shared" si="44"/>
        <v>0</v>
      </c>
      <c r="H174" s="53">
        <f t="shared" si="44"/>
        <v>3500</v>
      </c>
      <c r="I174" s="54">
        <f t="shared" ref="I174:K176" si="45">I175</f>
        <v>0</v>
      </c>
      <c r="J174" s="53">
        <f>J175</f>
        <v>0</v>
      </c>
      <c r="K174" s="54">
        <f t="shared" si="45"/>
        <v>0</v>
      </c>
      <c r="L174" s="53">
        <f t="shared" ref="L174:N176" si="46">L175</f>
        <v>3500</v>
      </c>
      <c r="M174" s="53">
        <f t="shared" si="46"/>
        <v>0</v>
      </c>
      <c r="N174" s="53">
        <f t="shared" si="46"/>
        <v>3500</v>
      </c>
      <c r="O174" s="95"/>
      <c r="P174" s="95"/>
    </row>
    <row r="175" spans="1:16" ht="31.5" x14ac:dyDescent="0.2">
      <c r="A175" s="42"/>
      <c r="B175" s="43" t="s">
        <v>252</v>
      </c>
      <c r="C175" s="44" t="s">
        <v>253</v>
      </c>
      <c r="D175" s="45" t="s">
        <v>26</v>
      </c>
      <c r="E175" s="105"/>
      <c r="F175" s="46">
        <f t="shared" si="44"/>
        <v>3500</v>
      </c>
      <c r="G175" s="46">
        <f t="shared" si="44"/>
        <v>0</v>
      </c>
      <c r="H175" s="46">
        <f t="shared" si="44"/>
        <v>3500</v>
      </c>
      <c r="I175" s="47">
        <f t="shared" si="45"/>
        <v>0</v>
      </c>
      <c r="J175" s="88"/>
      <c r="K175" s="47">
        <f t="shared" si="45"/>
        <v>0</v>
      </c>
      <c r="L175" s="46">
        <f t="shared" si="46"/>
        <v>3500</v>
      </c>
      <c r="M175" s="46">
        <f t="shared" si="46"/>
        <v>0</v>
      </c>
      <c r="N175" s="46">
        <f t="shared" si="46"/>
        <v>3500</v>
      </c>
      <c r="O175" s="94"/>
      <c r="P175" s="94"/>
    </row>
    <row r="176" spans="1:16" ht="31.5" x14ac:dyDescent="0.2">
      <c r="A176" s="42"/>
      <c r="B176" s="43" t="s">
        <v>254</v>
      </c>
      <c r="C176" s="44" t="s">
        <v>255</v>
      </c>
      <c r="D176" s="45" t="s">
        <v>26</v>
      </c>
      <c r="E176" s="105"/>
      <c r="F176" s="46">
        <f t="shared" si="44"/>
        <v>3500</v>
      </c>
      <c r="G176" s="46">
        <f t="shared" si="44"/>
        <v>0</v>
      </c>
      <c r="H176" s="46">
        <f t="shared" si="44"/>
        <v>3500</v>
      </c>
      <c r="I176" s="47">
        <f t="shared" si="45"/>
        <v>0</v>
      </c>
      <c r="J176" s="88"/>
      <c r="K176" s="47">
        <f t="shared" si="45"/>
        <v>0</v>
      </c>
      <c r="L176" s="46">
        <f t="shared" si="46"/>
        <v>3500</v>
      </c>
      <c r="M176" s="46">
        <f t="shared" si="46"/>
        <v>0</v>
      </c>
      <c r="N176" s="46">
        <f t="shared" si="46"/>
        <v>3500</v>
      </c>
      <c r="O176" s="94"/>
      <c r="P176" s="94"/>
    </row>
    <row r="177" spans="1:17" ht="31.5" x14ac:dyDescent="0.2">
      <c r="A177" s="42"/>
      <c r="B177" s="43" t="s">
        <v>35</v>
      </c>
      <c r="C177" s="44" t="s">
        <v>255</v>
      </c>
      <c r="D177" s="45" t="s">
        <v>36</v>
      </c>
      <c r="E177" s="105"/>
      <c r="F177" s="46">
        <v>3500</v>
      </c>
      <c r="G177" s="46"/>
      <c r="H177" s="46">
        <v>3500</v>
      </c>
      <c r="I177" s="47">
        <v>0</v>
      </c>
      <c r="J177" s="88"/>
      <c r="K177" s="47">
        <v>0</v>
      </c>
      <c r="L177" s="46">
        <v>3500</v>
      </c>
      <c r="M177" s="46"/>
      <c r="N177" s="46">
        <v>3500</v>
      </c>
      <c r="O177" s="94"/>
      <c r="P177" s="94"/>
    </row>
    <row r="178" spans="1:17" ht="15.75" x14ac:dyDescent="0.2">
      <c r="A178" s="49"/>
      <c r="B178" s="50" t="s">
        <v>256</v>
      </c>
      <c r="C178" s="51" t="s">
        <v>257</v>
      </c>
      <c r="D178" s="52" t="s">
        <v>26</v>
      </c>
      <c r="E178" s="106"/>
      <c r="F178" s="53">
        <f t="shared" ref="F178:H180" si="47">F179</f>
        <v>1736</v>
      </c>
      <c r="G178" s="53">
        <f t="shared" si="47"/>
        <v>0</v>
      </c>
      <c r="H178" s="53">
        <f t="shared" si="47"/>
        <v>1736</v>
      </c>
      <c r="I178" s="54">
        <f t="shared" ref="I178:K180" si="48">I179</f>
        <v>0</v>
      </c>
      <c r="J178" s="53">
        <f>J179</f>
        <v>0</v>
      </c>
      <c r="K178" s="54">
        <f t="shared" si="48"/>
        <v>0</v>
      </c>
      <c r="L178" s="53">
        <f t="shared" ref="L178:N180" si="49">L179</f>
        <v>1736</v>
      </c>
      <c r="M178" s="53">
        <f t="shared" si="49"/>
        <v>0</v>
      </c>
      <c r="N178" s="53">
        <f t="shared" si="49"/>
        <v>1736</v>
      </c>
      <c r="O178" s="95"/>
      <c r="P178" s="95"/>
    </row>
    <row r="179" spans="1:17" ht="31.5" x14ac:dyDescent="0.2">
      <c r="A179" s="42"/>
      <c r="B179" s="43" t="s">
        <v>258</v>
      </c>
      <c r="C179" s="44" t="s">
        <v>259</v>
      </c>
      <c r="D179" s="45" t="s">
        <v>26</v>
      </c>
      <c r="E179" s="105"/>
      <c r="F179" s="46">
        <f t="shared" si="47"/>
        <v>1736</v>
      </c>
      <c r="G179" s="46">
        <f t="shared" si="47"/>
        <v>0</v>
      </c>
      <c r="H179" s="46">
        <f t="shared" si="47"/>
        <v>1736</v>
      </c>
      <c r="I179" s="47">
        <f t="shared" si="48"/>
        <v>0</v>
      </c>
      <c r="J179" s="88"/>
      <c r="K179" s="47">
        <f t="shared" si="48"/>
        <v>0</v>
      </c>
      <c r="L179" s="46">
        <f t="shared" si="49"/>
        <v>1736</v>
      </c>
      <c r="M179" s="46">
        <f t="shared" si="49"/>
        <v>0</v>
      </c>
      <c r="N179" s="46">
        <f t="shared" si="49"/>
        <v>1736</v>
      </c>
      <c r="O179" s="94"/>
      <c r="P179" s="94"/>
    </row>
    <row r="180" spans="1:17" ht="31.5" x14ac:dyDescent="0.2">
      <c r="A180" s="42"/>
      <c r="B180" s="43" t="s">
        <v>254</v>
      </c>
      <c r="C180" s="44" t="s">
        <v>260</v>
      </c>
      <c r="D180" s="45" t="s">
        <v>26</v>
      </c>
      <c r="E180" s="105"/>
      <c r="F180" s="46">
        <f t="shared" si="47"/>
        <v>1736</v>
      </c>
      <c r="G180" s="46">
        <f t="shared" si="47"/>
        <v>0</v>
      </c>
      <c r="H180" s="46">
        <f t="shared" si="47"/>
        <v>1736</v>
      </c>
      <c r="I180" s="47">
        <f t="shared" si="48"/>
        <v>0</v>
      </c>
      <c r="J180" s="88"/>
      <c r="K180" s="47">
        <f t="shared" si="48"/>
        <v>0</v>
      </c>
      <c r="L180" s="46">
        <f t="shared" si="49"/>
        <v>1736</v>
      </c>
      <c r="M180" s="46">
        <f t="shared" si="49"/>
        <v>0</v>
      </c>
      <c r="N180" s="46">
        <f t="shared" si="49"/>
        <v>1736</v>
      </c>
      <c r="O180" s="94"/>
      <c r="P180" s="94"/>
    </row>
    <row r="181" spans="1:17" ht="63" x14ac:dyDescent="0.2">
      <c r="A181" s="42"/>
      <c r="B181" s="43" t="s">
        <v>261</v>
      </c>
      <c r="C181" s="44" t="s">
        <v>260</v>
      </c>
      <c r="D181" s="45" t="s">
        <v>36</v>
      </c>
      <c r="E181" s="105"/>
      <c r="F181" s="46">
        <v>1736</v>
      </c>
      <c r="G181" s="46"/>
      <c r="H181" s="46">
        <v>1736</v>
      </c>
      <c r="I181" s="47">
        <v>0</v>
      </c>
      <c r="J181" s="88"/>
      <c r="K181" s="47">
        <v>0</v>
      </c>
      <c r="L181" s="46">
        <v>1736</v>
      </c>
      <c r="M181" s="46"/>
      <c r="N181" s="46">
        <v>1736</v>
      </c>
      <c r="O181" s="94"/>
      <c r="P181" s="94"/>
    </row>
    <row r="182" spans="1:17" ht="31.5" x14ac:dyDescent="0.2">
      <c r="A182" s="19" t="s">
        <v>262</v>
      </c>
      <c r="B182" s="20" t="s">
        <v>263</v>
      </c>
      <c r="C182" s="21" t="s">
        <v>264</v>
      </c>
      <c r="D182" s="22" t="s">
        <v>26</v>
      </c>
      <c r="E182" s="104"/>
      <c r="F182" s="23">
        <f t="shared" ref="F182:N182" si="50">F183+F199+F203+F209+F213</f>
        <v>37085.1</v>
      </c>
      <c r="G182" s="23">
        <f t="shared" si="50"/>
        <v>0</v>
      </c>
      <c r="H182" s="23">
        <f t="shared" si="50"/>
        <v>37085.1</v>
      </c>
      <c r="I182" s="24">
        <f t="shared" si="50"/>
        <v>0</v>
      </c>
      <c r="J182" s="23">
        <f t="shared" si="50"/>
        <v>0</v>
      </c>
      <c r="K182" s="24">
        <f t="shared" si="50"/>
        <v>0</v>
      </c>
      <c r="L182" s="23">
        <f t="shared" si="50"/>
        <v>37085.1</v>
      </c>
      <c r="M182" s="23">
        <f t="shared" si="50"/>
        <v>0</v>
      </c>
      <c r="N182" s="23">
        <f t="shared" si="50"/>
        <v>37085.1</v>
      </c>
      <c r="O182" s="93"/>
      <c r="P182" s="93"/>
      <c r="Q182" s="25"/>
    </row>
    <row r="183" spans="1:17" ht="49.9" customHeight="1" x14ac:dyDescent="0.2">
      <c r="A183" s="49"/>
      <c r="B183" s="50" t="s">
        <v>265</v>
      </c>
      <c r="C183" s="51" t="s">
        <v>266</v>
      </c>
      <c r="D183" s="52" t="s">
        <v>26</v>
      </c>
      <c r="E183" s="106"/>
      <c r="F183" s="53">
        <f t="shared" ref="F183:N183" si="51">F184+F193+F196</f>
        <v>28124.6</v>
      </c>
      <c r="G183" s="53">
        <f t="shared" si="51"/>
        <v>0</v>
      </c>
      <c r="H183" s="53">
        <f t="shared" si="51"/>
        <v>28124.6</v>
      </c>
      <c r="I183" s="54">
        <f t="shared" si="51"/>
        <v>0</v>
      </c>
      <c r="J183" s="53">
        <f t="shared" si="51"/>
        <v>0</v>
      </c>
      <c r="K183" s="54">
        <f t="shared" si="51"/>
        <v>0</v>
      </c>
      <c r="L183" s="53">
        <f t="shared" si="51"/>
        <v>28124.6</v>
      </c>
      <c r="M183" s="53">
        <f t="shared" si="51"/>
        <v>0</v>
      </c>
      <c r="N183" s="53">
        <f t="shared" si="51"/>
        <v>28124.6</v>
      </c>
      <c r="O183" s="95"/>
      <c r="P183" s="95"/>
      <c r="Q183" s="55"/>
    </row>
    <row r="184" spans="1:17" ht="50.45" customHeight="1" x14ac:dyDescent="0.2">
      <c r="A184" s="42"/>
      <c r="B184" s="43" t="s">
        <v>267</v>
      </c>
      <c r="C184" s="44" t="s">
        <v>268</v>
      </c>
      <c r="D184" s="45" t="s">
        <v>26</v>
      </c>
      <c r="E184" s="105"/>
      <c r="F184" s="46">
        <f>F185+F189+F191</f>
        <v>13023.900000000001</v>
      </c>
      <c r="G184" s="46">
        <f>G185+G189+G191</f>
        <v>0</v>
      </c>
      <c r="H184" s="46">
        <f>H185+H189+H191</f>
        <v>13023.900000000001</v>
      </c>
      <c r="I184" s="47">
        <f>I185+I189+I191</f>
        <v>0</v>
      </c>
      <c r="J184" s="88"/>
      <c r="K184" s="47">
        <f>K185+K189+K191</f>
        <v>0</v>
      </c>
      <c r="L184" s="46">
        <f>L185+L189+L191</f>
        <v>13023.900000000001</v>
      </c>
      <c r="M184" s="46">
        <f>M185+M189+M191</f>
        <v>0</v>
      </c>
      <c r="N184" s="46">
        <f>N185+N189+N191</f>
        <v>13023.900000000001</v>
      </c>
      <c r="O184" s="94"/>
      <c r="P184" s="94"/>
      <c r="Q184" s="48"/>
    </row>
    <row r="185" spans="1:17" ht="31.5" x14ac:dyDescent="0.2">
      <c r="A185" s="42"/>
      <c r="B185" s="43" t="s">
        <v>39</v>
      </c>
      <c r="C185" s="44" t="s">
        <v>269</v>
      </c>
      <c r="D185" s="45" t="s">
        <v>26</v>
      </c>
      <c r="E185" s="105"/>
      <c r="F185" s="46">
        <f>F186+F187+F188</f>
        <v>10295.300000000001</v>
      </c>
      <c r="G185" s="46">
        <f>G186+G187+G188</f>
        <v>0</v>
      </c>
      <c r="H185" s="46">
        <f>H186+H187+H188</f>
        <v>10295.300000000001</v>
      </c>
      <c r="I185" s="47">
        <f>I186+I187+I188</f>
        <v>0</v>
      </c>
      <c r="J185" s="88"/>
      <c r="K185" s="47">
        <f>K186+K187+K188</f>
        <v>0</v>
      </c>
      <c r="L185" s="46">
        <f>L186+L187+L188</f>
        <v>10295.300000000001</v>
      </c>
      <c r="M185" s="46">
        <f>M186+M187+M188</f>
        <v>0</v>
      </c>
      <c r="N185" s="46">
        <f>N186+N187+N188</f>
        <v>10295.300000000001</v>
      </c>
      <c r="O185" s="94"/>
      <c r="P185" s="94"/>
    </row>
    <row r="186" spans="1:17" ht="64.900000000000006" customHeight="1" x14ac:dyDescent="0.2">
      <c r="A186" s="42"/>
      <c r="B186" s="43" t="s">
        <v>31</v>
      </c>
      <c r="C186" s="44" t="s">
        <v>269</v>
      </c>
      <c r="D186" s="45" t="s">
        <v>32</v>
      </c>
      <c r="E186" s="105"/>
      <c r="F186" s="46">
        <v>9246.2000000000007</v>
      </c>
      <c r="G186" s="46"/>
      <c r="H186" s="46">
        <v>9246.2000000000007</v>
      </c>
      <c r="I186" s="47">
        <v>0</v>
      </c>
      <c r="J186" s="88"/>
      <c r="K186" s="47">
        <v>0</v>
      </c>
      <c r="L186" s="46">
        <v>9246.2000000000007</v>
      </c>
      <c r="M186" s="46"/>
      <c r="N186" s="46">
        <v>9246.2000000000007</v>
      </c>
      <c r="O186" s="94"/>
      <c r="P186" s="94"/>
    </row>
    <row r="187" spans="1:17" ht="31.5" x14ac:dyDescent="0.2">
      <c r="A187" s="42"/>
      <c r="B187" s="43" t="s">
        <v>35</v>
      </c>
      <c r="C187" s="44" t="s">
        <v>269</v>
      </c>
      <c r="D187" s="45" t="s">
        <v>36</v>
      </c>
      <c r="E187" s="105"/>
      <c r="F187" s="46">
        <v>1026.0999999999999</v>
      </c>
      <c r="G187" s="46"/>
      <c r="H187" s="46">
        <v>1026.0999999999999</v>
      </c>
      <c r="I187" s="47">
        <v>0</v>
      </c>
      <c r="J187" s="88"/>
      <c r="K187" s="47">
        <v>0</v>
      </c>
      <c r="L187" s="46">
        <v>1026.0999999999999</v>
      </c>
      <c r="M187" s="46"/>
      <c r="N187" s="46">
        <v>1026.0999999999999</v>
      </c>
      <c r="O187" s="94"/>
      <c r="P187" s="94"/>
    </row>
    <row r="188" spans="1:17" ht="15.75" x14ac:dyDescent="0.2">
      <c r="A188" s="42"/>
      <c r="B188" s="43" t="s">
        <v>41</v>
      </c>
      <c r="C188" s="44" t="s">
        <v>269</v>
      </c>
      <c r="D188" s="45" t="s">
        <v>42</v>
      </c>
      <c r="E188" s="105"/>
      <c r="F188" s="46">
        <v>23</v>
      </c>
      <c r="G188" s="46"/>
      <c r="H188" s="46">
        <v>23</v>
      </c>
      <c r="I188" s="47">
        <v>0</v>
      </c>
      <c r="J188" s="88"/>
      <c r="K188" s="47">
        <v>0</v>
      </c>
      <c r="L188" s="46">
        <v>23</v>
      </c>
      <c r="M188" s="46"/>
      <c r="N188" s="46">
        <v>23</v>
      </c>
      <c r="O188" s="94"/>
      <c r="P188" s="94"/>
    </row>
    <row r="189" spans="1:17" ht="48.6" customHeight="1" x14ac:dyDescent="0.2">
      <c r="A189" s="42"/>
      <c r="B189" s="43" t="s">
        <v>270</v>
      </c>
      <c r="C189" s="44" t="s">
        <v>271</v>
      </c>
      <c r="D189" s="45" t="s">
        <v>26</v>
      </c>
      <c r="E189" s="105"/>
      <c r="F189" s="46">
        <f>F190</f>
        <v>1728.6000000000001</v>
      </c>
      <c r="G189" s="46">
        <f>G190</f>
        <v>0</v>
      </c>
      <c r="H189" s="46">
        <f>H190</f>
        <v>1728.6000000000001</v>
      </c>
      <c r="I189" s="47">
        <f>I190</f>
        <v>0</v>
      </c>
      <c r="J189" s="88"/>
      <c r="K189" s="47">
        <f>K190</f>
        <v>0</v>
      </c>
      <c r="L189" s="46">
        <f>L190</f>
        <v>1728.6000000000001</v>
      </c>
      <c r="M189" s="46">
        <f>M190</f>
        <v>0</v>
      </c>
      <c r="N189" s="46">
        <f>N190</f>
        <v>1728.6000000000001</v>
      </c>
      <c r="O189" s="94"/>
      <c r="P189" s="94"/>
    </row>
    <row r="190" spans="1:17" ht="31.5" x14ac:dyDescent="0.2">
      <c r="A190" s="42"/>
      <c r="B190" s="43" t="s">
        <v>35</v>
      </c>
      <c r="C190" s="44" t="s">
        <v>271</v>
      </c>
      <c r="D190" s="45" t="s">
        <v>36</v>
      </c>
      <c r="E190" s="105"/>
      <c r="F190" s="56">
        <f>1134.8+593.6+0.2</f>
        <v>1728.6000000000001</v>
      </c>
      <c r="G190" s="56"/>
      <c r="H190" s="56">
        <f>1134.8+593.6+0.2</f>
        <v>1728.6000000000001</v>
      </c>
      <c r="I190" s="47">
        <v>0</v>
      </c>
      <c r="J190" s="111"/>
      <c r="K190" s="47">
        <v>0</v>
      </c>
      <c r="L190" s="56">
        <f>1134.8+593.6+0.2</f>
        <v>1728.6000000000001</v>
      </c>
      <c r="M190" s="56"/>
      <c r="N190" s="56">
        <f>1134.8+593.6+0.2</f>
        <v>1728.6000000000001</v>
      </c>
      <c r="O190" s="94"/>
      <c r="P190" s="94"/>
    </row>
    <row r="191" spans="1:17" ht="47.25" x14ac:dyDescent="0.2">
      <c r="A191" s="42"/>
      <c r="B191" s="43" t="s">
        <v>272</v>
      </c>
      <c r="C191" s="44" t="s">
        <v>273</v>
      </c>
      <c r="D191" s="45" t="s">
        <v>26</v>
      </c>
      <c r="E191" s="105"/>
      <c r="F191" s="46">
        <f>F192</f>
        <v>1000</v>
      </c>
      <c r="G191" s="46">
        <f>G192</f>
        <v>0</v>
      </c>
      <c r="H191" s="46">
        <f>H192</f>
        <v>1000</v>
      </c>
      <c r="I191" s="47">
        <f>I192</f>
        <v>0</v>
      </c>
      <c r="J191" s="88"/>
      <c r="K191" s="47">
        <f>K192</f>
        <v>0</v>
      </c>
      <c r="L191" s="46">
        <f>L192</f>
        <v>1000</v>
      </c>
      <c r="M191" s="46">
        <f>M192</f>
        <v>0</v>
      </c>
      <c r="N191" s="46">
        <f>N192</f>
        <v>1000</v>
      </c>
      <c r="O191" s="94"/>
      <c r="P191" s="94"/>
    </row>
    <row r="192" spans="1:17" ht="31.5" x14ac:dyDescent="0.2">
      <c r="A192" s="42"/>
      <c r="B192" s="43" t="s">
        <v>35</v>
      </c>
      <c r="C192" s="44" t="s">
        <v>273</v>
      </c>
      <c r="D192" s="45" t="s">
        <v>36</v>
      </c>
      <c r="E192" s="105"/>
      <c r="F192" s="46">
        <v>1000</v>
      </c>
      <c r="G192" s="46"/>
      <c r="H192" s="46">
        <v>1000</v>
      </c>
      <c r="I192" s="47">
        <v>0</v>
      </c>
      <c r="J192" s="88"/>
      <c r="K192" s="47">
        <v>0</v>
      </c>
      <c r="L192" s="46">
        <v>1000</v>
      </c>
      <c r="M192" s="46"/>
      <c r="N192" s="46">
        <v>1000</v>
      </c>
      <c r="O192" s="94"/>
      <c r="P192" s="94"/>
    </row>
    <row r="193" spans="1:16" ht="31.5" x14ac:dyDescent="0.2">
      <c r="A193" s="42"/>
      <c r="B193" s="43" t="s">
        <v>274</v>
      </c>
      <c r="C193" s="44" t="s">
        <v>275</v>
      </c>
      <c r="D193" s="45" t="s">
        <v>26</v>
      </c>
      <c r="E193" s="105"/>
      <c r="F193" s="46">
        <f t="shared" ref="F193:N194" si="52">F194</f>
        <v>13584.1</v>
      </c>
      <c r="G193" s="46">
        <f t="shared" si="52"/>
        <v>0</v>
      </c>
      <c r="H193" s="46">
        <f t="shared" si="52"/>
        <v>13584.1</v>
      </c>
      <c r="I193" s="47">
        <f t="shared" si="52"/>
        <v>0</v>
      </c>
      <c r="J193" s="88"/>
      <c r="K193" s="47">
        <f t="shared" si="52"/>
        <v>0</v>
      </c>
      <c r="L193" s="46">
        <f t="shared" si="52"/>
        <v>13584.1</v>
      </c>
      <c r="M193" s="46">
        <f t="shared" si="52"/>
        <v>0</v>
      </c>
      <c r="N193" s="46">
        <f t="shared" si="52"/>
        <v>13584.1</v>
      </c>
      <c r="O193" s="94"/>
      <c r="P193" s="94"/>
    </row>
    <row r="194" spans="1:16" ht="78.75" x14ac:dyDescent="0.2">
      <c r="A194" s="42"/>
      <c r="B194" s="43" t="s">
        <v>276</v>
      </c>
      <c r="C194" s="44" t="s">
        <v>277</v>
      </c>
      <c r="D194" s="45" t="s">
        <v>26</v>
      </c>
      <c r="E194" s="105"/>
      <c r="F194" s="46">
        <f t="shared" si="52"/>
        <v>13584.1</v>
      </c>
      <c r="G194" s="46">
        <f t="shared" si="52"/>
        <v>0</v>
      </c>
      <c r="H194" s="46">
        <f t="shared" si="52"/>
        <v>13584.1</v>
      </c>
      <c r="I194" s="47">
        <f t="shared" si="52"/>
        <v>0</v>
      </c>
      <c r="J194" s="88"/>
      <c r="K194" s="47">
        <f t="shared" si="52"/>
        <v>0</v>
      </c>
      <c r="L194" s="46">
        <f t="shared" si="52"/>
        <v>13584.1</v>
      </c>
      <c r="M194" s="46">
        <f t="shared" si="52"/>
        <v>0</v>
      </c>
      <c r="N194" s="46">
        <f t="shared" si="52"/>
        <v>13584.1</v>
      </c>
      <c r="O194" s="94"/>
      <c r="P194" s="94"/>
    </row>
    <row r="195" spans="1:16" ht="15.75" x14ac:dyDescent="0.2">
      <c r="A195" s="42"/>
      <c r="B195" s="43" t="s">
        <v>278</v>
      </c>
      <c r="C195" s="44" t="s">
        <v>277</v>
      </c>
      <c r="D195" s="45" t="s">
        <v>279</v>
      </c>
      <c r="E195" s="105"/>
      <c r="F195" s="77">
        <f>13584.2-0.1</f>
        <v>13584.1</v>
      </c>
      <c r="G195" s="77"/>
      <c r="H195" s="77">
        <f>13584.2-0.1</f>
        <v>13584.1</v>
      </c>
      <c r="I195" s="47">
        <v>0</v>
      </c>
      <c r="J195" s="113"/>
      <c r="K195" s="47">
        <v>0</v>
      </c>
      <c r="L195" s="77">
        <f>13584.2-0.1</f>
        <v>13584.1</v>
      </c>
      <c r="M195" s="77"/>
      <c r="N195" s="77">
        <f>13584.2-0.1</f>
        <v>13584.1</v>
      </c>
      <c r="O195" s="94"/>
      <c r="P195" s="94"/>
    </row>
    <row r="196" spans="1:16" ht="47.25" x14ac:dyDescent="0.2">
      <c r="A196" s="42"/>
      <c r="B196" s="43" t="s">
        <v>280</v>
      </c>
      <c r="C196" s="44" t="s">
        <v>281</v>
      </c>
      <c r="D196" s="45" t="s">
        <v>26</v>
      </c>
      <c r="E196" s="105"/>
      <c r="F196" s="46">
        <f t="shared" ref="F196:N197" si="53">F197</f>
        <v>1516.6000000000001</v>
      </c>
      <c r="G196" s="46">
        <f t="shared" si="53"/>
        <v>0</v>
      </c>
      <c r="H196" s="46">
        <f t="shared" si="53"/>
        <v>1516.6000000000001</v>
      </c>
      <c r="I196" s="47">
        <f t="shared" si="53"/>
        <v>0</v>
      </c>
      <c r="J196" s="88"/>
      <c r="K196" s="47">
        <f t="shared" si="53"/>
        <v>0</v>
      </c>
      <c r="L196" s="46">
        <f t="shared" si="53"/>
        <v>1516.6000000000001</v>
      </c>
      <c r="M196" s="46">
        <f t="shared" si="53"/>
        <v>0</v>
      </c>
      <c r="N196" s="46">
        <f t="shared" si="53"/>
        <v>1516.6000000000001</v>
      </c>
      <c r="O196" s="94"/>
      <c r="P196" s="94"/>
    </row>
    <row r="197" spans="1:16" ht="67.900000000000006" customHeight="1" x14ac:dyDescent="0.2">
      <c r="A197" s="42"/>
      <c r="B197" s="43" t="s">
        <v>282</v>
      </c>
      <c r="C197" s="44" t="s">
        <v>283</v>
      </c>
      <c r="D197" s="45" t="s">
        <v>26</v>
      </c>
      <c r="E197" s="105"/>
      <c r="F197" s="46">
        <f t="shared" si="53"/>
        <v>1516.6000000000001</v>
      </c>
      <c r="G197" s="46">
        <f t="shared" si="53"/>
        <v>0</v>
      </c>
      <c r="H197" s="46">
        <f t="shared" si="53"/>
        <v>1516.6000000000001</v>
      </c>
      <c r="I197" s="47">
        <f t="shared" si="53"/>
        <v>0</v>
      </c>
      <c r="J197" s="88"/>
      <c r="K197" s="47">
        <f t="shared" si="53"/>
        <v>0</v>
      </c>
      <c r="L197" s="46">
        <f t="shared" si="53"/>
        <v>1516.6000000000001</v>
      </c>
      <c r="M197" s="46">
        <f t="shared" si="53"/>
        <v>0</v>
      </c>
      <c r="N197" s="46">
        <f t="shared" si="53"/>
        <v>1516.6000000000001</v>
      </c>
      <c r="O197" s="94"/>
      <c r="P197" s="94"/>
    </row>
    <row r="198" spans="1:16" ht="15.75" x14ac:dyDescent="0.2">
      <c r="A198" s="42"/>
      <c r="B198" s="43" t="s">
        <v>278</v>
      </c>
      <c r="C198" s="44" t="s">
        <v>283</v>
      </c>
      <c r="D198" s="45" t="s">
        <v>279</v>
      </c>
      <c r="E198" s="105"/>
      <c r="F198" s="77">
        <f>1516.7-0.1</f>
        <v>1516.6000000000001</v>
      </c>
      <c r="G198" s="77"/>
      <c r="H198" s="77">
        <f>1516.7-0.1</f>
        <v>1516.6000000000001</v>
      </c>
      <c r="I198" s="47">
        <v>0</v>
      </c>
      <c r="J198" s="113"/>
      <c r="K198" s="47">
        <v>0</v>
      </c>
      <c r="L198" s="77">
        <f>1516.7-0.1</f>
        <v>1516.6000000000001</v>
      </c>
      <c r="M198" s="77"/>
      <c r="N198" s="77">
        <f>1516.7-0.1</f>
        <v>1516.6000000000001</v>
      </c>
      <c r="O198" s="94"/>
      <c r="P198" s="94"/>
    </row>
    <row r="199" spans="1:16" ht="15.75" x14ac:dyDescent="0.2">
      <c r="A199" s="49"/>
      <c r="B199" s="50" t="s">
        <v>284</v>
      </c>
      <c r="C199" s="51" t="s">
        <v>285</v>
      </c>
      <c r="D199" s="52" t="s">
        <v>26</v>
      </c>
      <c r="E199" s="106"/>
      <c r="F199" s="53">
        <f t="shared" ref="F199:H201" si="54">F200</f>
        <v>292.5</v>
      </c>
      <c r="G199" s="53">
        <f t="shared" si="54"/>
        <v>0</v>
      </c>
      <c r="H199" s="53">
        <f t="shared" si="54"/>
        <v>292.5</v>
      </c>
      <c r="I199" s="54">
        <f t="shared" ref="I199:K201" si="55">I200</f>
        <v>0</v>
      </c>
      <c r="J199" s="87"/>
      <c r="K199" s="54">
        <f t="shared" si="55"/>
        <v>0</v>
      </c>
      <c r="L199" s="53">
        <f t="shared" ref="L199:N201" si="56">L200</f>
        <v>292.5</v>
      </c>
      <c r="M199" s="53">
        <f t="shared" si="56"/>
        <v>0</v>
      </c>
      <c r="N199" s="53">
        <f t="shared" si="56"/>
        <v>292.5</v>
      </c>
      <c r="O199" s="95"/>
      <c r="P199" s="95"/>
    </row>
    <row r="200" spans="1:16" ht="31.5" x14ac:dyDescent="0.2">
      <c r="A200" s="42"/>
      <c r="B200" s="43" t="s">
        <v>286</v>
      </c>
      <c r="C200" s="44" t="s">
        <v>287</v>
      </c>
      <c r="D200" s="45" t="s">
        <v>26</v>
      </c>
      <c r="E200" s="105"/>
      <c r="F200" s="46">
        <f t="shared" si="54"/>
        <v>292.5</v>
      </c>
      <c r="G200" s="46">
        <f t="shared" si="54"/>
        <v>0</v>
      </c>
      <c r="H200" s="46">
        <f t="shared" si="54"/>
        <v>292.5</v>
      </c>
      <c r="I200" s="47">
        <f t="shared" si="55"/>
        <v>0</v>
      </c>
      <c r="J200" s="88"/>
      <c r="K200" s="47">
        <f t="shared" si="55"/>
        <v>0</v>
      </c>
      <c r="L200" s="46">
        <f t="shared" si="56"/>
        <v>292.5</v>
      </c>
      <c r="M200" s="46">
        <f t="shared" si="56"/>
        <v>0</v>
      </c>
      <c r="N200" s="46">
        <f t="shared" si="56"/>
        <v>292.5</v>
      </c>
      <c r="O200" s="94"/>
      <c r="P200" s="94"/>
    </row>
    <row r="201" spans="1:16" ht="15.75" x14ac:dyDescent="0.2">
      <c r="A201" s="42"/>
      <c r="B201" s="43" t="s">
        <v>288</v>
      </c>
      <c r="C201" s="44" t="s">
        <v>289</v>
      </c>
      <c r="D201" s="45" t="s">
        <v>26</v>
      </c>
      <c r="E201" s="105"/>
      <c r="F201" s="46">
        <f t="shared" si="54"/>
        <v>292.5</v>
      </c>
      <c r="G201" s="46">
        <f t="shared" si="54"/>
        <v>0</v>
      </c>
      <c r="H201" s="46">
        <f t="shared" si="54"/>
        <v>292.5</v>
      </c>
      <c r="I201" s="47">
        <f t="shared" si="55"/>
        <v>0</v>
      </c>
      <c r="J201" s="88"/>
      <c r="K201" s="47">
        <f t="shared" si="55"/>
        <v>0</v>
      </c>
      <c r="L201" s="46">
        <f t="shared" si="56"/>
        <v>292.5</v>
      </c>
      <c r="M201" s="46">
        <f t="shared" si="56"/>
        <v>0</v>
      </c>
      <c r="N201" s="46">
        <f t="shared" si="56"/>
        <v>292.5</v>
      </c>
      <c r="O201" s="94"/>
      <c r="P201" s="94"/>
    </row>
    <row r="202" spans="1:16" ht="31.5" x14ac:dyDescent="0.2">
      <c r="A202" s="42"/>
      <c r="B202" s="43" t="s">
        <v>35</v>
      </c>
      <c r="C202" s="44" t="s">
        <v>289</v>
      </c>
      <c r="D202" s="45" t="s">
        <v>36</v>
      </c>
      <c r="E202" s="105"/>
      <c r="F202" s="46">
        <v>292.5</v>
      </c>
      <c r="G202" s="46"/>
      <c r="H202" s="46">
        <v>292.5</v>
      </c>
      <c r="I202" s="47">
        <v>0</v>
      </c>
      <c r="J202" s="88"/>
      <c r="K202" s="47">
        <v>0</v>
      </c>
      <c r="L202" s="46">
        <v>292.5</v>
      </c>
      <c r="M202" s="46"/>
      <c r="N202" s="46">
        <v>292.5</v>
      </c>
      <c r="O202" s="94"/>
      <c r="P202" s="94"/>
    </row>
    <row r="203" spans="1:16" ht="24.6" customHeight="1" x14ac:dyDescent="0.2">
      <c r="A203" s="49"/>
      <c r="B203" s="50" t="s">
        <v>290</v>
      </c>
      <c r="C203" s="51" t="s">
        <v>291</v>
      </c>
      <c r="D203" s="52" t="s">
        <v>26</v>
      </c>
      <c r="E203" s="106"/>
      <c r="F203" s="53">
        <f>F204</f>
        <v>5186.5</v>
      </c>
      <c r="G203" s="53">
        <f>G204</f>
        <v>0</v>
      </c>
      <c r="H203" s="53">
        <f>H204</f>
        <v>5186.5</v>
      </c>
      <c r="I203" s="54">
        <f>I204</f>
        <v>0</v>
      </c>
      <c r="J203" s="87"/>
      <c r="K203" s="54">
        <f>K204</f>
        <v>0</v>
      </c>
      <c r="L203" s="53">
        <f>L204</f>
        <v>5186.5</v>
      </c>
      <c r="M203" s="53">
        <f>M204</f>
        <v>0</v>
      </c>
      <c r="N203" s="53">
        <f>N204</f>
        <v>5186.5</v>
      </c>
      <c r="O203" s="95"/>
      <c r="P203" s="95"/>
    </row>
    <row r="204" spans="1:16" ht="36.6" customHeight="1" x14ac:dyDescent="0.2">
      <c r="A204" s="42"/>
      <c r="B204" s="43" t="s">
        <v>292</v>
      </c>
      <c r="C204" s="44" t="s">
        <v>293</v>
      </c>
      <c r="D204" s="45" t="s">
        <v>26</v>
      </c>
      <c r="E204" s="105"/>
      <c r="F204" s="46">
        <f>F205+F207</f>
        <v>5186.5</v>
      </c>
      <c r="G204" s="46">
        <f>G205+G207</f>
        <v>0</v>
      </c>
      <c r="H204" s="46">
        <f>H205+H207</f>
        <v>5186.5</v>
      </c>
      <c r="I204" s="47">
        <f>I205+I207</f>
        <v>0</v>
      </c>
      <c r="J204" s="88"/>
      <c r="K204" s="47">
        <f>K205+K207</f>
        <v>0</v>
      </c>
      <c r="L204" s="46">
        <f>L205+L207</f>
        <v>5186.5</v>
      </c>
      <c r="M204" s="46">
        <f>M205+M207</f>
        <v>0</v>
      </c>
      <c r="N204" s="46">
        <f>N205+N207</f>
        <v>5186.5</v>
      </c>
      <c r="O204" s="94"/>
      <c r="P204" s="94"/>
    </row>
    <row r="205" spans="1:16" ht="22.15" customHeight="1" x14ac:dyDescent="0.2">
      <c r="A205" s="42"/>
      <c r="B205" s="43" t="s">
        <v>294</v>
      </c>
      <c r="C205" s="44" t="s">
        <v>295</v>
      </c>
      <c r="D205" s="45" t="s">
        <v>26</v>
      </c>
      <c r="E205" s="105"/>
      <c r="F205" s="46">
        <f>F206</f>
        <v>321.70000000000005</v>
      </c>
      <c r="G205" s="46">
        <f>G206</f>
        <v>0</v>
      </c>
      <c r="H205" s="46">
        <f>H206</f>
        <v>321.70000000000005</v>
      </c>
      <c r="I205" s="47">
        <f>I206</f>
        <v>0</v>
      </c>
      <c r="J205" s="88"/>
      <c r="K205" s="47">
        <f>K206</f>
        <v>0</v>
      </c>
      <c r="L205" s="46">
        <f>L206</f>
        <v>321.70000000000005</v>
      </c>
      <c r="M205" s="46">
        <f>M206</f>
        <v>0</v>
      </c>
      <c r="N205" s="46">
        <f>N206</f>
        <v>321.70000000000005</v>
      </c>
      <c r="O205" s="94"/>
      <c r="P205" s="94"/>
    </row>
    <row r="206" spans="1:16" ht="31.5" x14ac:dyDescent="0.2">
      <c r="A206" s="42"/>
      <c r="B206" s="43" t="s">
        <v>35</v>
      </c>
      <c r="C206" s="44" t="s">
        <v>295</v>
      </c>
      <c r="D206" s="45" t="s">
        <v>36</v>
      </c>
      <c r="E206" s="105"/>
      <c r="F206" s="56">
        <f>1021.7-700</f>
        <v>321.70000000000005</v>
      </c>
      <c r="G206" s="56"/>
      <c r="H206" s="56">
        <f>1021.7-700</f>
        <v>321.70000000000005</v>
      </c>
      <c r="I206" s="47">
        <v>0</v>
      </c>
      <c r="J206" s="111"/>
      <c r="K206" s="47">
        <v>0</v>
      </c>
      <c r="L206" s="56">
        <f>1021.7-700</f>
        <v>321.70000000000005</v>
      </c>
      <c r="M206" s="56"/>
      <c r="N206" s="56">
        <f>1021.7-700</f>
        <v>321.70000000000005</v>
      </c>
      <c r="O206" s="94"/>
      <c r="P206" s="94"/>
    </row>
    <row r="207" spans="1:16" ht="52.15" customHeight="1" x14ac:dyDescent="0.2">
      <c r="A207" s="42"/>
      <c r="B207" s="43" t="s">
        <v>296</v>
      </c>
      <c r="C207" s="44" t="s">
        <v>297</v>
      </c>
      <c r="D207" s="45" t="s">
        <v>26</v>
      </c>
      <c r="E207" s="105"/>
      <c r="F207" s="46">
        <f>F208</f>
        <v>4864.8</v>
      </c>
      <c r="G207" s="46">
        <f>G208</f>
        <v>0</v>
      </c>
      <c r="H207" s="46">
        <f>H208</f>
        <v>4864.8</v>
      </c>
      <c r="I207" s="47">
        <f>I208</f>
        <v>0</v>
      </c>
      <c r="J207" s="88"/>
      <c r="K207" s="47">
        <f>K208</f>
        <v>0</v>
      </c>
      <c r="L207" s="46">
        <f>L208</f>
        <v>4864.8</v>
      </c>
      <c r="M207" s="46">
        <f>M208</f>
        <v>0</v>
      </c>
      <c r="N207" s="46">
        <f>N208</f>
        <v>4864.8</v>
      </c>
      <c r="O207" s="94"/>
      <c r="P207" s="94"/>
    </row>
    <row r="208" spans="1:16" ht="15.75" x14ac:dyDescent="0.2">
      <c r="A208" s="42"/>
      <c r="B208" s="43" t="s">
        <v>278</v>
      </c>
      <c r="C208" s="44" t="s">
        <v>297</v>
      </c>
      <c r="D208" s="45" t="s">
        <v>279</v>
      </c>
      <c r="E208" s="105"/>
      <c r="F208" s="46">
        <v>4864.8</v>
      </c>
      <c r="G208" s="46"/>
      <c r="H208" s="46">
        <v>4864.8</v>
      </c>
      <c r="I208" s="47">
        <v>0</v>
      </c>
      <c r="J208" s="88"/>
      <c r="K208" s="47">
        <v>0</v>
      </c>
      <c r="L208" s="46">
        <v>4864.8</v>
      </c>
      <c r="M208" s="46"/>
      <c r="N208" s="46">
        <v>4864.8</v>
      </c>
      <c r="O208" s="94"/>
      <c r="P208" s="94"/>
    </row>
    <row r="209" spans="1:16" ht="15.75" x14ac:dyDescent="0.2">
      <c r="A209" s="49"/>
      <c r="B209" s="50" t="s">
        <v>298</v>
      </c>
      <c r="C209" s="51" t="s">
        <v>299</v>
      </c>
      <c r="D209" s="52" t="s">
        <v>26</v>
      </c>
      <c r="E209" s="106"/>
      <c r="F209" s="53">
        <f t="shared" ref="F209:H211" si="57">F210</f>
        <v>20</v>
      </c>
      <c r="G209" s="53">
        <f t="shared" si="57"/>
        <v>0</v>
      </c>
      <c r="H209" s="53">
        <f t="shared" si="57"/>
        <v>20</v>
      </c>
      <c r="I209" s="54">
        <f t="shared" ref="I209:K211" si="58">I210</f>
        <v>0</v>
      </c>
      <c r="J209" s="53">
        <f>J210</f>
        <v>0</v>
      </c>
      <c r="K209" s="54">
        <f t="shared" si="58"/>
        <v>0</v>
      </c>
      <c r="L209" s="53">
        <f t="shared" ref="L209:N211" si="59">L210</f>
        <v>20</v>
      </c>
      <c r="M209" s="53">
        <f t="shared" si="59"/>
        <v>0</v>
      </c>
      <c r="N209" s="53">
        <f t="shared" si="59"/>
        <v>20</v>
      </c>
      <c r="O209" s="95"/>
      <c r="P209" s="95"/>
    </row>
    <row r="210" spans="1:16" ht="31.5" x14ac:dyDescent="0.2">
      <c r="A210" s="42"/>
      <c r="B210" s="43" t="s">
        <v>300</v>
      </c>
      <c r="C210" s="44" t="s">
        <v>301</v>
      </c>
      <c r="D210" s="45" t="s">
        <v>26</v>
      </c>
      <c r="E210" s="105"/>
      <c r="F210" s="46">
        <f t="shared" si="57"/>
        <v>20</v>
      </c>
      <c r="G210" s="46">
        <f t="shared" si="57"/>
        <v>0</v>
      </c>
      <c r="H210" s="46">
        <f t="shared" si="57"/>
        <v>20</v>
      </c>
      <c r="I210" s="47">
        <f t="shared" si="58"/>
        <v>0</v>
      </c>
      <c r="J210" s="88"/>
      <c r="K210" s="47">
        <f t="shared" si="58"/>
        <v>0</v>
      </c>
      <c r="L210" s="46">
        <f t="shared" si="59"/>
        <v>20</v>
      </c>
      <c r="M210" s="46">
        <f t="shared" si="59"/>
        <v>0</v>
      </c>
      <c r="N210" s="46">
        <f t="shared" si="59"/>
        <v>20</v>
      </c>
      <c r="O210" s="94"/>
      <c r="P210" s="94"/>
    </row>
    <row r="211" spans="1:16" ht="15.75" x14ac:dyDescent="0.2">
      <c r="A211" s="42"/>
      <c r="B211" s="43" t="s">
        <v>302</v>
      </c>
      <c r="C211" s="44" t="s">
        <v>303</v>
      </c>
      <c r="D211" s="45" t="s">
        <v>26</v>
      </c>
      <c r="E211" s="105"/>
      <c r="F211" s="46">
        <f t="shared" si="57"/>
        <v>20</v>
      </c>
      <c r="G211" s="46">
        <f t="shared" si="57"/>
        <v>0</v>
      </c>
      <c r="H211" s="46">
        <f t="shared" si="57"/>
        <v>20</v>
      </c>
      <c r="I211" s="47">
        <f t="shared" si="58"/>
        <v>0</v>
      </c>
      <c r="J211" s="88"/>
      <c r="K211" s="47">
        <f t="shared" si="58"/>
        <v>0</v>
      </c>
      <c r="L211" s="46">
        <f t="shared" si="59"/>
        <v>20</v>
      </c>
      <c r="M211" s="46">
        <f t="shared" si="59"/>
        <v>0</v>
      </c>
      <c r="N211" s="46">
        <f t="shared" si="59"/>
        <v>20</v>
      </c>
      <c r="O211" s="94"/>
      <c r="P211" s="94"/>
    </row>
    <row r="212" spans="1:16" ht="31.5" x14ac:dyDescent="0.2">
      <c r="A212" s="42"/>
      <c r="B212" s="43" t="s">
        <v>35</v>
      </c>
      <c r="C212" s="44" t="s">
        <v>303</v>
      </c>
      <c r="D212" s="45" t="s">
        <v>36</v>
      </c>
      <c r="E212" s="105"/>
      <c r="F212" s="46">
        <v>20</v>
      </c>
      <c r="G212" s="46"/>
      <c r="H212" s="46">
        <v>20</v>
      </c>
      <c r="I212" s="47">
        <v>0</v>
      </c>
      <c r="J212" s="88"/>
      <c r="K212" s="47">
        <v>0</v>
      </c>
      <c r="L212" s="46">
        <v>20</v>
      </c>
      <c r="M212" s="46"/>
      <c r="N212" s="46">
        <v>20</v>
      </c>
      <c r="O212" s="94"/>
      <c r="P212" s="94"/>
    </row>
    <row r="213" spans="1:16" ht="15.75" x14ac:dyDescent="0.2">
      <c r="A213" s="49"/>
      <c r="B213" s="50" t="s">
        <v>140</v>
      </c>
      <c r="C213" s="51" t="s">
        <v>304</v>
      </c>
      <c r="D213" s="52" t="s">
        <v>26</v>
      </c>
      <c r="E213" s="106"/>
      <c r="F213" s="53">
        <f t="shared" ref="F213:N213" si="60">F214+F217</f>
        <v>3461.5</v>
      </c>
      <c r="G213" s="53">
        <f t="shared" si="60"/>
        <v>0</v>
      </c>
      <c r="H213" s="53">
        <f t="shared" si="60"/>
        <v>3461.5</v>
      </c>
      <c r="I213" s="54">
        <f t="shared" si="60"/>
        <v>0</v>
      </c>
      <c r="J213" s="53">
        <f t="shared" si="60"/>
        <v>0</v>
      </c>
      <c r="K213" s="54">
        <f t="shared" si="60"/>
        <v>0</v>
      </c>
      <c r="L213" s="53">
        <f t="shared" si="60"/>
        <v>3461.5</v>
      </c>
      <c r="M213" s="53">
        <f t="shared" si="60"/>
        <v>0</v>
      </c>
      <c r="N213" s="53">
        <f t="shared" si="60"/>
        <v>3461.5</v>
      </c>
      <c r="O213" s="95"/>
      <c r="P213" s="95"/>
    </row>
    <row r="214" spans="1:16" ht="30.6" customHeight="1" x14ac:dyDescent="0.2">
      <c r="A214" s="42"/>
      <c r="B214" s="43" t="s">
        <v>305</v>
      </c>
      <c r="C214" s="44" t="s">
        <v>306</v>
      </c>
      <c r="D214" s="45" t="s">
        <v>26</v>
      </c>
      <c r="E214" s="105"/>
      <c r="F214" s="46">
        <f t="shared" ref="F214:N215" si="61">F215</f>
        <v>3366.5</v>
      </c>
      <c r="G214" s="46">
        <f t="shared" si="61"/>
        <v>0</v>
      </c>
      <c r="H214" s="46">
        <f t="shared" si="61"/>
        <v>3366.5</v>
      </c>
      <c r="I214" s="47">
        <f t="shared" si="61"/>
        <v>0</v>
      </c>
      <c r="J214" s="88"/>
      <c r="K214" s="47">
        <f t="shared" si="61"/>
        <v>0</v>
      </c>
      <c r="L214" s="46">
        <f t="shared" si="61"/>
        <v>3366.5</v>
      </c>
      <c r="M214" s="46">
        <f t="shared" si="61"/>
        <v>0</v>
      </c>
      <c r="N214" s="46">
        <f t="shared" si="61"/>
        <v>3366.5</v>
      </c>
      <c r="O214" s="94"/>
      <c r="P214" s="94"/>
    </row>
    <row r="215" spans="1:16" ht="63" x14ac:dyDescent="0.2">
      <c r="A215" s="42"/>
      <c r="B215" s="43" t="s">
        <v>307</v>
      </c>
      <c r="C215" s="44" t="s">
        <v>308</v>
      </c>
      <c r="D215" s="45" t="s">
        <v>26</v>
      </c>
      <c r="E215" s="105"/>
      <c r="F215" s="46">
        <f t="shared" si="61"/>
        <v>3366.5</v>
      </c>
      <c r="G215" s="46">
        <f t="shared" si="61"/>
        <v>0</v>
      </c>
      <c r="H215" s="46">
        <f t="shared" si="61"/>
        <v>3366.5</v>
      </c>
      <c r="I215" s="47">
        <f t="shared" si="61"/>
        <v>0</v>
      </c>
      <c r="J215" s="88"/>
      <c r="K215" s="47">
        <f t="shared" si="61"/>
        <v>0</v>
      </c>
      <c r="L215" s="46">
        <f t="shared" si="61"/>
        <v>3366.5</v>
      </c>
      <c r="M215" s="46">
        <f t="shared" si="61"/>
        <v>0</v>
      </c>
      <c r="N215" s="46">
        <f t="shared" si="61"/>
        <v>3366.5</v>
      </c>
      <c r="O215" s="94"/>
      <c r="P215" s="94"/>
    </row>
    <row r="216" spans="1:16" ht="15.75" x14ac:dyDescent="0.2">
      <c r="A216" s="42"/>
      <c r="B216" s="43" t="s">
        <v>278</v>
      </c>
      <c r="C216" s="44" t="s">
        <v>308</v>
      </c>
      <c r="D216" s="45" t="s">
        <v>279</v>
      </c>
      <c r="E216" s="105"/>
      <c r="F216" s="46">
        <v>3366.5</v>
      </c>
      <c r="G216" s="46"/>
      <c r="H216" s="46">
        <v>3366.5</v>
      </c>
      <c r="I216" s="47">
        <v>0</v>
      </c>
      <c r="J216" s="88"/>
      <c r="K216" s="47">
        <v>0</v>
      </c>
      <c r="L216" s="46">
        <v>3366.5</v>
      </c>
      <c r="M216" s="46"/>
      <c r="N216" s="46">
        <v>3366.5</v>
      </c>
      <c r="O216" s="94"/>
      <c r="P216" s="94"/>
    </row>
    <row r="217" spans="1:16" ht="47.25" x14ac:dyDescent="0.2">
      <c r="A217" s="42"/>
      <c r="B217" s="43" t="s">
        <v>309</v>
      </c>
      <c r="C217" s="44" t="s">
        <v>310</v>
      </c>
      <c r="D217" s="45" t="s">
        <v>26</v>
      </c>
      <c r="E217" s="105"/>
      <c r="F217" s="46">
        <f t="shared" ref="F217:N218" si="62">F218</f>
        <v>95</v>
      </c>
      <c r="G217" s="46">
        <f t="shared" si="62"/>
        <v>0</v>
      </c>
      <c r="H217" s="46">
        <f t="shared" si="62"/>
        <v>95</v>
      </c>
      <c r="I217" s="47">
        <f t="shared" si="62"/>
        <v>0</v>
      </c>
      <c r="J217" s="88"/>
      <c r="K217" s="47">
        <f t="shared" si="62"/>
        <v>0</v>
      </c>
      <c r="L217" s="46">
        <f t="shared" si="62"/>
        <v>95</v>
      </c>
      <c r="M217" s="46">
        <f t="shared" si="62"/>
        <v>0</v>
      </c>
      <c r="N217" s="46">
        <f t="shared" si="62"/>
        <v>95</v>
      </c>
      <c r="O217" s="94"/>
      <c r="P217" s="94"/>
    </row>
    <row r="218" spans="1:16" ht="15.75" x14ac:dyDescent="0.2">
      <c r="A218" s="42"/>
      <c r="B218" s="43" t="s">
        <v>311</v>
      </c>
      <c r="C218" s="44" t="s">
        <v>312</v>
      </c>
      <c r="D218" s="45" t="s">
        <v>26</v>
      </c>
      <c r="E218" s="105"/>
      <c r="F218" s="46">
        <f t="shared" si="62"/>
        <v>95</v>
      </c>
      <c r="G218" s="46">
        <f t="shared" si="62"/>
        <v>0</v>
      </c>
      <c r="H218" s="46">
        <f t="shared" si="62"/>
        <v>95</v>
      </c>
      <c r="I218" s="47">
        <f t="shared" si="62"/>
        <v>0</v>
      </c>
      <c r="J218" s="88"/>
      <c r="K218" s="47">
        <f t="shared" si="62"/>
        <v>0</v>
      </c>
      <c r="L218" s="46">
        <f t="shared" si="62"/>
        <v>95</v>
      </c>
      <c r="M218" s="46">
        <f t="shared" si="62"/>
        <v>0</v>
      </c>
      <c r="N218" s="46">
        <f t="shared" si="62"/>
        <v>95</v>
      </c>
      <c r="O218" s="94"/>
      <c r="P218" s="94"/>
    </row>
    <row r="219" spans="1:16" ht="31.5" x14ac:dyDescent="0.2">
      <c r="A219" s="42"/>
      <c r="B219" s="43" t="s">
        <v>35</v>
      </c>
      <c r="C219" s="44" t="s">
        <v>312</v>
      </c>
      <c r="D219" s="45" t="s">
        <v>36</v>
      </c>
      <c r="E219" s="105"/>
      <c r="F219" s="46">
        <v>95</v>
      </c>
      <c r="G219" s="46"/>
      <c r="H219" s="46">
        <v>95</v>
      </c>
      <c r="I219" s="47">
        <v>0</v>
      </c>
      <c r="J219" s="88"/>
      <c r="K219" s="47">
        <v>0</v>
      </c>
      <c r="L219" s="46">
        <v>95</v>
      </c>
      <c r="M219" s="46"/>
      <c r="N219" s="46">
        <v>95</v>
      </c>
      <c r="O219" s="94"/>
      <c r="P219" s="94"/>
    </row>
    <row r="220" spans="1:16" ht="47.25" x14ac:dyDescent="0.2">
      <c r="A220" s="19" t="s">
        <v>313</v>
      </c>
      <c r="B220" s="20" t="s">
        <v>314</v>
      </c>
      <c r="C220" s="21" t="s">
        <v>315</v>
      </c>
      <c r="D220" s="22" t="s">
        <v>26</v>
      </c>
      <c r="E220" s="104"/>
      <c r="F220" s="23">
        <f t="shared" ref="F220:N220" si="63">F221+F228+F232</f>
        <v>5472</v>
      </c>
      <c r="G220" s="23">
        <f t="shared" si="63"/>
        <v>0</v>
      </c>
      <c r="H220" s="23">
        <f t="shared" si="63"/>
        <v>5472</v>
      </c>
      <c r="I220" s="24">
        <f t="shared" si="63"/>
        <v>0</v>
      </c>
      <c r="J220" s="23">
        <f t="shared" si="63"/>
        <v>0</v>
      </c>
      <c r="K220" s="24">
        <f t="shared" si="63"/>
        <v>0</v>
      </c>
      <c r="L220" s="23">
        <f t="shared" si="63"/>
        <v>5472</v>
      </c>
      <c r="M220" s="23">
        <f t="shared" si="63"/>
        <v>0</v>
      </c>
      <c r="N220" s="23">
        <f t="shared" si="63"/>
        <v>5472</v>
      </c>
      <c r="O220" s="93"/>
      <c r="P220" s="93"/>
    </row>
    <row r="221" spans="1:16" ht="31.5" x14ac:dyDescent="0.2">
      <c r="A221" s="49"/>
      <c r="B221" s="50" t="s">
        <v>316</v>
      </c>
      <c r="C221" s="51" t="s">
        <v>317</v>
      </c>
      <c r="D221" s="52" t="s">
        <v>26</v>
      </c>
      <c r="E221" s="106"/>
      <c r="F221" s="53">
        <f t="shared" ref="F221:N221" si="64">F222</f>
        <v>2722</v>
      </c>
      <c r="G221" s="53">
        <f t="shared" si="64"/>
        <v>0</v>
      </c>
      <c r="H221" s="53">
        <f t="shared" si="64"/>
        <v>2722</v>
      </c>
      <c r="I221" s="54">
        <f t="shared" si="64"/>
        <v>0</v>
      </c>
      <c r="J221" s="53">
        <f t="shared" si="64"/>
        <v>0</v>
      </c>
      <c r="K221" s="54">
        <f t="shared" si="64"/>
        <v>0</v>
      </c>
      <c r="L221" s="53">
        <f t="shared" si="64"/>
        <v>2722</v>
      </c>
      <c r="M221" s="53">
        <f t="shared" si="64"/>
        <v>0</v>
      </c>
      <c r="N221" s="53">
        <f t="shared" si="64"/>
        <v>2722</v>
      </c>
      <c r="O221" s="95"/>
      <c r="P221" s="95"/>
    </row>
    <row r="222" spans="1:16" ht="31.5" x14ac:dyDescent="0.2">
      <c r="A222" s="42"/>
      <c r="B222" s="43" t="s">
        <v>318</v>
      </c>
      <c r="C222" s="44" t="s">
        <v>319</v>
      </c>
      <c r="D222" s="45" t="s">
        <v>26</v>
      </c>
      <c r="E222" s="105"/>
      <c r="F222" s="46">
        <f>F223+F225</f>
        <v>2722</v>
      </c>
      <c r="G222" s="46">
        <f>G223+G225</f>
        <v>0</v>
      </c>
      <c r="H222" s="46">
        <f>H223+H225</f>
        <v>2722</v>
      </c>
      <c r="I222" s="47">
        <f>I223+I225</f>
        <v>0</v>
      </c>
      <c r="J222" s="88"/>
      <c r="K222" s="47">
        <f>K223+K225</f>
        <v>0</v>
      </c>
      <c r="L222" s="46">
        <f>L223+L225</f>
        <v>2722</v>
      </c>
      <c r="M222" s="46">
        <f>M223+M225</f>
        <v>0</v>
      </c>
      <c r="N222" s="46">
        <f>N223+N225</f>
        <v>2722</v>
      </c>
      <c r="O222" s="94"/>
      <c r="P222" s="94"/>
    </row>
    <row r="223" spans="1:16" ht="31.5" x14ac:dyDescent="0.2">
      <c r="A223" s="42"/>
      <c r="B223" s="43" t="s">
        <v>316</v>
      </c>
      <c r="C223" s="44" t="s">
        <v>320</v>
      </c>
      <c r="D223" s="45" t="s">
        <v>26</v>
      </c>
      <c r="E223" s="105"/>
      <c r="F223" s="46">
        <f>F224</f>
        <v>2412</v>
      </c>
      <c r="G223" s="46">
        <f>G224</f>
        <v>0</v>
      </c>
      <c r="H223" s="46">
        <f>H224</f>
        <v>2412</v>
      </c>
      <c r="I223" s="47">
        <f>I224</f>
        <v>0</v>
      </c>
      <c r="J223" s="88"/>
      <c r="K223" s="47">
        <f>K224</f>
        <v>0</v>
      </c>
      <c r="L223" s="46">
        <f>L224</f>
        <v>2412</v>
      </c>
      <c r="M223" s="46">
        <f>M224</f>
        <v>0</v>
      </c>
      <c r="N223" s="46">
        <f>N224</f>
        <v>2412</v>
      </c>
      <c r="O223" s="94"/>
      <c r="P223" s="94"/>
    </row>
    <row r="224" spans="1:16" ht="15.75" x14ac:dyDescent="0.2">
      <c r="A224" s="42"/>
      <c r="B224" s="43" t="s">
        <v>54</v>
      </c>
      <c r="C224" s="44" t="s">
        <v>320</v>
      </c>
      <c r="D224" s="45" t="s">
        <v>55</v>
      </c>
      <c r="E224" s="105"/>
      <c r="F224" s="46">
        <v>2412</v>
      </c>
      <c r="G224" s="46"/>
      <c r="H224" s="46">
        <v>2412</v>
      </c>
      <c r="I224" s="47">
        <v>0</v>
      </c>
      <c r="J224" s="88"/>
      <c r="K224" s="47">
        <v>0</v>
      </c>
      <c r="L224" s="46">
        <v>2412</v>
      </c>
      <c r="M224" s="46"/>
      <c r="N224" s="46">
        <v>2412</v>
      </c>
      <c r="O224" s="94"/>
      <c r="P224" s="94"/>
    </row>
    <row r="225" spans="1:16" ht="31.5" x14ac:dyDescent="0.2">
      <c r="A225" s="42"/>
      <c r="B225" s="43" t="s">
        <v>321</v>
      </c>
      <c r="C225" s="44" t="s">
        <v>322</v>
      </c>
      <c r="D225" s="45" t="s">
        <v>26</v>
      </c>
      <c r="E225" s="105"/>
      <c r="F225" s="46">
        <f>F226+F227</f>
        <v>310</v>
      </c>
      <c r="G225" s="46">
        <f>G226+G227</f>
        <v>0</v>
      </c>
      <c r="H225" s="46">
        <f>H226+H227</f>
        <v>310</v>
      </c>
      <c r="I225" s="47">
        <f>I226+I227</f>
        <v>0</v>
      </c>
      <c r="J225" s="88"/>
      <c r="K225" s="47">
        <f>K226+K227</f>
        <v>0</v>
      </c>
      <c r="L225" s="46">
        <f>L226+L227</f>
        <v>310</v>
      </c>
      <c r="M225" s="46">
        <f>M226+M227</f>
        <v>0</v>
      </c>
      <c r="N225" s="46">
        <f>N226+N227</f>
        <v>310</v>
      </c>
      <c r="O225" s="94"/>
      <c r="P225" s="94"/>
    </row>
    <row r="226" spans="1:16" ht="31.5" x14ac:dyDescent="0.2">
      <c r="A226" s="42"/>
      <c r="B226" s="43" t="s">
        <v>35</v>
      </c>
      <c r="C226" s="44" t="s">
        <v>322</v>
      </c>
      <c r="D226" s="45" t="s">
        <v>36</v>
      </c>
      <c r="E226" s="105"/>
      <c r="F226" s="46">
        <v>300</v>
      </c>
      <c r="G226" s="46"/>
      <c r="H226" s="46">
        <v>300</v>
      </c>
      <c r="I226" s="47">
        <v>0</v>
      </c>
      <c r="J226" s="88"/>
      <c r="K226" s="47">
        <v>0</v>
      </c>
      <c r="L226" s="46">
        <v>300</v>
      </c>
      <c r="M226" s="46"/>
      <c r="N226" s="46">
        <v>300</v>
      </c>
      <c r="O226" s="94"/>
      <c r="P226" s="94"/>
    </row>
    <row r="227" spans="1:16" ht="15.75" x14ac:dyDescent="0.2">
      <c r="A227" s="42"/>
      <c r="B227" s="43" t="s">
        <v>54</v>
      </c>
      <c r="C227" s="44" t="s">
        <v>322</v>
      </c>
      <c r="D227" s="45" t="s">
        <v>55</v>
      </c>
      <c r="E227" s="105"/>
      <c r="F227" s="46">
        <v>10</v>
      </c>
      <c r="G227" s="46"/>
      <c r="H227" s="46">
        <v>10</v>
      </c>
      <c r="I227" s="47">
        <v>0</v>
      </c>
      <c r="J227" s="88"/>
      <c r="K227" s="47">
        <v>0</v>
      </c>
      <c r="L227" s="46">
        <v>10</v>
      </c>
      <c r="M227" s="46"/>
      <c r="N227" s="46">
        <v>10</v>
      </c>
      <c r="O227" s="94"/>
      <c r="P227" s="94"/>
    </row>
    <row r="228" spans="1:16" ht="31.5" x14ac:dyDescent="0.2">
      <c r="A228" s="49"/>
      <c r="B228" s="50" t="s">
        <v>323</v>
      </c>
      <c r="C228" s="51" t="s">
        <v>324</v>
      </c>
      <c r="D228" s="52" t="s">
        <v>26</v>
      </c>
      <c r="E228" s="106"/>
      <c r="F228" s="53">
        <f t="shared" ref="F228:H230" si="65">F229</f>
        <v>150</v>
      </c>
      <c r="G228" s="53">
        <f t="shared" si="65"/>
        <v>0</v>
      </c>
      <c r="H228" s="53">
        <f t="shared" si="65"/>
        <v>150</v>
      </c>
      <c r="I228" s="54">
        <f t="shared" ref="I228:K230" si="66">I229</f>
        <v>0</v>
      </c>
      <c r="J228" s="53">
        <f>J229</f>
        <v>0</v>
      </c>
      <c r="K228" s="54">
        <f t="shared" si="66"/>
        <v>0</v>
      </c>
      <c r="L228" s="53">
        <f t="shared" ref="L228:N230" si="67">L229</f>
        <v>150</v>
      </c>
      <c r="M228" s="53">
        <f t="shared" si="67"/>
        <v>0</v>
      </c>
      <c r="N228" s="53">
        <f t="shared" si="67"/>
        <v>150</v>
      </c>
      <c r="O228" s="95"/>
      <c r="P228" s="95"/>
    </row>
    <row r="229" spans="1:16" ht="47.25" x14ac:dyDescent="0.2">
      <c r="A229" s="42"/>
      <c r="B229" s="43" t="s">
        <v>325</v>
      </c>
      <c r="C229" s="44" t="s">
        <v>326</v>
      </c>
      <c r="D229" s="45" t="s">
        <v>26</v>
      </c>
      <c r="E229" s="105"/>
      <c r="F229" s="46">
        <f t="shared" si="65"/>
        <v>150</v>
      </c>
      <c r="G229" s="46">
        <f t="shared" si="65"/>
        <v>0</v>
      </c>
      <c r="H229" s="46">
        <f t="shared" si="65"/>
        <v>150</v>
      </c>
      <c r="I229" s="47">
        <f t="shared" si="66"/>
        <v>0</v>
      </c>
      <c r="J229" s="88"/>
      <c r="K229" s="47">
        <f t="shared" si="66"/>
        <v>0</v>
      </c>
      <c r="L229" s="46">
        <f t="shared" si="67"/>
        <v>150</v>
      </c>
      <c r="M229" s="46">
        <f t="shared" si="67"/>
        <v>0</v>
      </c>
      <c r="N229" s="46">
        <f t="shared" si="67"/>
        <v>150</v>
      </c>
      <c r="O229" s="94"/>
      <c r="P229" s="94"/>
    </row>
    <row r="230" spans="1:16" ht="33" customHeight="1" x14ac:dyDescent="0.2">
      <c r="A230" s="42"/>
      <c r="B230" s="43" t="s">
        <v>327</v>
      </c>
      <c r="C230" s="44" t="s">
        <v>328</v>
      </c>
      <c r="D230" s="45" t="s">
        <v>26</v>
      </c>
      <c r="E230" s="105"/>
      <c r="F230" s="46">
        <f t="shared" si="65"/>
        <v>150</v>
      </c>
      <c r="G230" s="46">
        <f t="shared" si="65"/>
        <v>0</v>
      </c>
      <c r="H230" s="46">
        <f t="shared" si="65"/>
        <v>150</v>
      </c>
      <c r="I230" s="47">
        <f t="shared" si="66"/>
        <v>0</v>
      </c>
      <c r="J230" s="88"/>
      <c r="K230" s="47">
        <f t="shared" si="66"/>
        <v>0</v>
      </c>
      <c r="L230" s="46">
        <f t="shared" si="67"/>
        <v>150</v>
      </c>
      <c r="M230" s="46">
        <f t="shared" si="67"/>
        <v>0</v>
      </c>
      <c r="N230" s="46">
        <f t="shared" si="67"/>
        <v>150</v>
      </c>
      <c r="O230" s="94"/>
      <c r="P230" s="94"/>
    </row>
    <row r="231" spans="1:16" ht="31.5" x14ac:dyDescent="0.2">
      <c r="A231" s="42"/>
      <c r="B231" s="43" t="s">
        <v>35</v>
      </c>
      <c r="C231" s="44" t="s">
        <v>328</v>
      </c>
      <c r="D231" s="45" t="s">
        <v>36</v>
      </c>
      <c r="E231" s="105"/>
      <c r="F231" s="46">
        <v>150</v>
      </c>
      <c r="G231" s="46"/>
      <c r="H231" s="46">
        <v>150</v>
      </c>
      <c r="I231" s="47">
        <v>0</v>
      </c>
      <c r="J231" s="88"/>
      <c r="K231" s="47">
        <v>0</v>
      </c>
      <c r="L231" s="46">
        <v>150</v>
      </c>
      <c r="M231" s="46"/>
      <c r="N231" s="46">
        <v>150</v>
      </c>
      <c r="O231" s="94"/>
      <c r="P231" s="94"/>
    </row>
    <row r="232" spans="1:16" ht="31.5" x14ac:dyDescent="0.2">
      <c r="A232" s="49"/>
      <c r="B232" s="50" t="s">
        <v>329</v>
      </c>
      <c r="C232" s="51" t="s">
        <v>330</v>
      </c>
      <c r="D232" s="52" t="s">
        <v>26</v>
      </c>
      <c r="E232" s="106"/>
      <c r="F232" s="53">
        <f t="shared" ref="F232:N233" si="68">F233</f>
        <v>2600</v>
      </c>
      <c r="G232" s="53">
        <f t="shared" si="68"/>
        <v>0</v>
      </c>
      <c r="H232" s="53">
        <f t="shared" si="68"/>
        <v>2600</v>
      </c>
      <c r="I232" s="54">
        <f t="shared" si="68"/>
        <v>0</v>
      </c>
      <c r="J232" s="53">
        <f t="shared" si="68"/>
        <v>0</v>
      </c>
      <c r="K232" s="54">
        <f t="shared" si="68"/>
        <v>0</v>
      </c>
      <c r="L232" s="53">
        <f t="shared" si="68"/>
        <v>2600</v>
      </c>
      <c r="M232" s="53">
        <f t="shared" si="68"/>
        <v>0</v>
      </c>
      <c r="N232" s="53">
        <f t="shared" si="68"/>
        <v>2600</v>
      </c>
      <c r="O232" s="95"/>
      <c r="P232" s="95"/>
    </row>
    <row r="233" spans="1:16" ht="96" customHeight="1" x14ac:dyDescent="0.2">
      <c r="A233" s="42"/>
      <c r="B233" s="43" t="s">
        <v>331</v>
      </c>
      <c r="C233" s="44" t="s">
        <v>332</v>
      </c>
      <c r="D233" s="45" t="s">
        <v>26</v>
      </c>
      <c r="E233" s="105"/>
      <c r="F233" s="46">
        <f t="shared" si="68"/>
        <v>2600</v>
      </c>
      <c r="G233" s="46">
        <f t="shared" si="68"/>
        <v>0</v>
      </c>
      <c r="H233" s="46">
        <f t="shared" si="68"/>
        <v>2600</v>
      </c>
      <c r="I233" s="47">
        <f t="shared" si="68"/>
        <v>0</v>
      </c>
      <c r="J233" s="88"/>
      <c r="K233" s="47">
        <f t="shared" si="68"/>
        <v>0</v>
      </c>
      <c r="L233" s="46">
        <f t="shared" si="68"/>
        <v>2600</v>
      </c>
      <c r="M233" s="46">
        <f t="shared" si="68"/>
        <v>0</v>
      </c>
      <c r="N233" s="46">
        <f t="shared" si="68"/>
        <v>2600</v>
      </c>
      <c r="O233" s="94"/>
      <c r="P233" s="94"/>
    </row>
    <row r="234" spans="1:16" ht="31.5" x14ac:dyDescent="0.2">
      <c r="A234" s="42"/>
      <c r="B234" s="43" t="s">
        <v>333</v>
      </c>
      <c r="C234" s="44" t="s">
        <v>334</v>
      </c>
      <c r="D234" s="45" t="s">
        <v>26</v>
      </c>
      <c r="E234" s="105"/>
      <c r="F234" s="46">
        <f>F235+F236</f>
        <v>2600</v>
      </c>
      <c r="G234" s="46">
        <f>G235+G236</f>
        <v>0</v>
      </c>
      <c r="H234" s="46">
        <f>H235+H236</f>
        <v>2600</v>
      </c>
      <c r="I234" s="47">
        <f>I235+I236</f>
        <v>0</v>
      </c>
      <c r="J234" s="88"/>
      <c r="K234" s="47">
        <f>K235+K236</f>
        <v>0</v>
      </c>
      <c r="L234" s="46">
        <f>L235+L236</f>
        <v>2600</v>
      </c>
      <c r="M234" s="46">
        <f>M235+M236</f>
        <v>0</v>
      </c>
      <c r="N234" s="46">
        <f>N235+N236</f>
        <v>2600</v>
      </c>
      <c r="O234" s="94"/>
      <c r="P234" s="94"/>
    </row>
    <row r="235" spans="1:16" ht="31.5" x14ac:dyDescent="0.2">
      <c r="A235" s="42"/>
      <c r="B235" s="43" t="s">
        <v>35</v>
      </c>
      <c r="C235" s="44" t="s">
        <v>334</v>
      </c>
      <c r="D235" s="45" t="s">
        <v>36</v>
      </c>
      <c r="E235" s="105"/>
      <c r="F235" s="46">
        <v>2536.8000000000002</v>
      </c>
      <c r="G235" s="46"/>
      <c r="H235" s="46">
        <v>2536.8000000000002</v>
      </c>
      <c r="I235" s="47">
        <v>0</v>
      </c>
      <c r="J235" s="88"/>
      <c r="K235" s="47">
        <v>0</v>
      </c>
      <c r="L235" s="46">
        <v>2536.8000000000002</v>
      </c>
      <c r="M235" s="46"/>
      <c r="N235" s="46">
        <v>2536.8000000000002</v>
      </c>
      <c r="O235" s="94"/>
      <c r="P235" s="94"/>
    </row>
    <row r="236" spans="1:16" ht="15.75" x14ac:dyDescent="0.2">
      <c r="A236" s="42"/>
      <c r="B236" s="43" t="s">
        <v>41</v>
      </c>
      <c r="C236" s="44" t="s">
        <v>334</v>
      </c>
      <c r="D236" s="45" t="s">
        <v>42</v>
      </c>
      <c r="E236" s="105"/>
      <c r="F236" s="46">
        <v>63.2</v>
      </c>
      <c r="G236" s="46"/>
      <c r="H236" s="46">
        <v>63.2</v>
      </c>
      <c r="I236" s="47">
        <v>0</v>
      </c>
      <c r="J236" s="88"/>
      <c r="K236" s="47">
        <v>0</v>
      </c>
      <c r="L236" s="46">
        <v>63.2</v>
      </c>
      <c r="M236" s="46"/>
      <c r="N236" s="46">
        <v>63.2</v>
      </c>
      <c r="O236" s="94"/>
      <c r="P236" s="94"/>
    </row>
    <row r="237" spans="1:16" ht="31.5" x14ac:dyDescent="0.2">
      <c r="A237" s="19" t="s">
        <v>335</v>
      </c>
      <c r="B237" s="20" t="s">
        <v>336</v>
      </c>
      <c r="C237" s="21" t="s">
        <v>337</v>
      </c>
      <c r="D237" s="22" t="s">
        <v>26</v>
      </c>
      <c r="E237" s="104"/>
      <c r="F237" s="23">
        <f>F238+F245</f>
        <v>15165.1</v>
      </c>
      <c r="G237" s="23">
        <f>G238+G245</f>
        <v>0</v>
      </c>
      <c r="H237" s="23">
        <f>H238+H245</f>
        <v>15165.1</v>
      </c>
      <c r="I237" s="24">
        <f t="shared" ref="F237:N238" si="69">I238</f>
        <v>72045</v>
      </c>
      <c r="J237" s="23">
        <f>J238+J245</f>
        <v>0</v>
      </c>
      <c r="K237" s="24">
        <f t="shared" si="69"/>
        <v>72045</v>
      </c>
      <c r="L237" s="23">
        <f>L238+L245</f>
        <v>87210.1</v>
      </c>
      <c r="M237" s="23">
        <f>M238+M245</f>
        <v>0</v>
      </c>
      <c r="N237" s="23">
        <f>N238+N245</f>
        <v>87210.1</v>
      </c>
      <c r="O237" s="93"/>
      <c r="P237" s="93"/>
    </row>
    <row r="238" spans="1:16" ht="15.75" x14ac:dyDescent="0.2">
      <c r="A238" s="49"/>
      <c r="B238" s="50" t="s">
        <v>338</v>
      </c>
      <c r="C238" s="51" t="s">
        <v>339</v>
      </c>
      <c r="D238" s="52" t="s">
        <v>26</v>
      </c>
      <c r="E238" s="106"/>
      <c r="F238" s="53">
        <f t="shared" si="69"/>
        <v>13201.1</v>
      </c>
      <c r="G238" s="53">
        <f t="shared" si="69"/>
        <v>0</v>
      </c>
      <c r="H238" s="53">
        <f t="shared" si="69"/>
        <v>13201.1</v>
      </c>
      <c r="I238" s="54">
        <f t="shared" si="69"/>
        <v>72045</v>
      </c>
      <c r="J238" s="53">
        <f t="shared" si="69"/>
        <v>0</v>
      </c>
      <c r="K238" s="54">
        <f t="shared" si="69"/>
        <v>72045</v>
      </c>
      <c r="L238" s="53">
        <f t="shared" si="69"/>
        <v>85246.1</v>
      </c>
      <c r="M238" s="53">
        <f t="shared" si="69"/>
        <v>0</v>
      </c>
      <c r="N238" s="53">
        <f t="shared" si="69"/>
        <v>85246.1</v>
      </c>
      <c r="O238" s="95"/>
      <c r="P238" s="95"/>
    </row>
    <row r="239" spans="1:16" ht="47.25" x14ac:dyDescent="0.2">
      <c r="A239" s="42"/>
      <c r="B239" s="43" t="s">
        <v>340</v>
      </c>
      <c r="C239" s="44" t="s">
        <v>341</v>
      </c>
      <c r="D239" s="45" t="s">
        <v>26</v>
      </c>
      <c r="E239" s="105"/>
      <c r="F239" s="46">
        <f>F240+F243</f>
        <v>13201.1</v>
      </c>
      <c r="G239" s="46">
        <f>G240+G243</f>
        <v>0</v>
      </c>
      <c r="H239" s="46">
        <f>H240+H243</f>
        <v>13201.1</v>
      </c>
      <c r="I239" s="47">
        <f>I240+I243</f>
        <v>72045</v>
      </c>
      <c r="J239" s="88"/>
      <c r="K239" s="47">
        <f>K240+K243</f>
        <v>72045</v>
      </c>
      <c r="L239" s="46">
        <f>L240+L243</f>
        <v>85246.1</v>
      </c>
      <c r="M239" s="46">
        <f>M240+M243</f>
        <v>0</v>
      </c>
      <c r="N239" s="46">
        <f>N240+N243</f>
        <v>85246.1</v>
      </c>
      <c r="O239" s="94"/>
      <c r="P239" s="94"/>
    </row>
    <row r="240" spans="1:16" ht="36" customHeight="1" x14ac:dyDescent="0.2">
      <c r="A240" s="42"/>
      <c r="B240" s="43" t="s">
        <v>342</v>
      </c>
      <c r="C240" s="44" t="s">
        <v>343</v>
      </c>
      <c r="D240" s="45" t="s">
        <v>26</v>
      </c>
      <c r="E240" s="105"/>
      <c r="F240" s="46">
        <f>F241+F242</f>
        <v>600</v>
      </c>
      <c r="G240" s="46">
        <f>G241+G242</f>
        <v>0</v>
      </c>
      <c r="H240" s="46">
        <f>H241+H242</f>
        <v>600</v>
      </c>
      <c r="I240" s="47">
        <f>I241+I242</f>
        <v>0</v>
      </c>
      <c r="J240" s="88"/>
      <c r="K240" s="47">
        <f>K241+K242</f>
        <v>0</v>
      </c>
      <c r="L240" s="46">
        <f>L241+L242</f>
        <v>600</v>
      </c>
      <c r="M240" s="46">
        <f>M241+M242</f>
        <v>0</v>
      </c>
      <c r="N240" s="46">
        <f>N241+N242</f>
        <v>600</v>
      </c>
      <c r="O240" s="94"/>
      <c r="P240" s="94"/>
    </row>
    <row r="241" spans="1:17" ht="31.5" x14ac:dyDescent="0.2">
      <c r="A241" s="42"/>
      <c r="B241" s="43" t="s">
        <v>35</v>
      </c>
      <c r="C241" s="44" t="s">
        <v>343</v>
      </c>
      <c r="D241" s="45" t="s">
        <v>36</v>
      </c>
      <c r="E241" s="105"/>
      <c r="F241" s="46">
        <v>600</v>
      </c>
      <c r="G241" s="46"/>
      <c r="H241" s="46">
        <v>600</v>
      </c>
      <c r="I241" s="47">
        <v>0</v>
      </c>
      <c r="J241" s="88"/>
      <c r="K241" s="47">
        <v>0</v>
      </c>
      <c r="L241" s="46">
        <v>600</v>
      </c>
      <c r="M241" s="46"/>
      <c r="N241" s="46">
        <v>600</v>
      </c>
      <c r="O241" s="94"/>
      <c r="P241" s="94"/>
    </row>
    <row r="242" spans="1:17" ht="31.5" x14ac:dyDescent="0.2">
      <c r="A242" s="42"/>
      <c r="B242" s="43" t="s">
        <v>131</v>
      </c>
      <c r="C242" s="44" t="s">
        <v>343</v>
      </c>
      <c r="D242" s="45" t="s">
        <v>132</v>
      </c>
      <c r="E242" s="105"/>
      <c r="F242" s="71">
        <f>2803.6+840-1820-983.6-840</f>
        <v>0</v>
      </c>
      <c r="G242" s="71">
        <f>2803.6+840-1820-983.6-840</f>
        <v>0</v>
      </c>
      <c r="H242" s="71">
        <f>2803.6+840-1820-983.6-840</f>
        <v>0</v>
      </c>
      <c r="I242" s="47">
        <v>0</v>
      </c>
      <c r="J242" s="114"/>
      <c r="K242" s="47">
        <v>0</v>
      </c>
      <c r="L242" s="71">
        <f>2803.6+840-1820-983.6-840</f>
        <v>0</v>
      </c>
      <c r="M242" s="71">
        <f>2803.6+840-1820-983.6-840</f>
        <v>0</v>
      </c>
      <c r="N242" s="71">
        <f>2803.6+840-1820-983.6-840</f>
        <v>0</v>
      </c>
      <c r="O242" s="94"/>
      <c r="P242" s="94"/>
    </row>
    <row r="243" spans="1:17" ht="15.75" x14ac:dyDescent="0.2">
      <c r="A243" s="42"/>
      <c r="B243" s="43" t="s">
        <v>344</v>
      </c>
      <c r="C243" s="44" t="s">
        <v>345</v>
      </c>
      <c r="D243" s="45" t="s">
        <v>26</v>
      </c>
      <c r="E243" s="105"/>
      <c r="F243" s="46">
        <f>F244</f>
        <v>12601.1</v>
      </c>
      <c r="G243" s="46">
        <f>G244</f>
        <v>0</v>
      </c>
      <c r="H243" s="46">
        <f>H244</f>
        <v>12601.1</v>
      </c>
      <c r="I243" s="47">
        <f>I244</f>
        <v>72045</v>
      </c>
      <c r="J243" s="88"/>
      <c r="K243" s="47">
        <f>K244</f>
        <v>72045</v>
      </c>
      <c r="L243" s="46">
        <f>L244</f>
        <v>84646.1</v>
      </c>
      <c r="M243" s="46">
        <f>M244</f>
        <v>0</v>
      </c>
      <c r="N243" s="46">
        <f>N244</f>
        <v>84646.1</v>
      </c>
      <c r="O243" s="94"/>
      <c r="P243" s="94"/>
    </row>
    <row r="244" spans="1:17" ht="31.5" x14ac:dyDescent="0.2">
      <c r="A244" s="42"/>
      <c r="B244" s="43" t="s">
        <v>131</v>
      </c>
      <c r="C244" s="44" t="s">
        <v>345</v>
      </c>
      <c r="D244" s="45" t="s">
        <v>132</v>
      </c>
      <c r="E244" s="105"/>
      <c r="F244" s="77">
        <f>10781.1-840+1820+840</f>
        <v>12601.1</v>
      </c>
      <c r="G244" s="77"/>
      <c r="H244" s="77">
        <f>10781.1-840+1820+840</f>
        <v>12601.1</v>
      </c>
      <c r="I244" s="47">
        <f>60865+11180</f>
        <v>72045</v>
      </c>
      <c r="J244" s="113"/>
      <c r="K244" s="47">
        <f>60865+11180</f>
        <v>72045</v>
      </c>
      <c r="L244" s="77">
        <f>10781.1-840+1820+840+I244</f>
        <v>84646.1</v>
      </c>
      <c r="M244" s="77"/>
      <c r="N244" s="77">
        <f>10781.1-840+1820+840+K244</f>
        <v>84646.1</v>
      </c>
      <c r="O244" s="94"/>
      <c r="P244" s="94"/>
    </row>
    <row r="245" spans="1:17" ht="15.75" x14ac:dyDescent="0.2">
      <c r="A245" s="42"/>
      <c r="B245" s="50" t="s">
        <v>348</v>
      </c>
      <c r="C245" s="51" t="s">
        <v>349</v>
      </c>
      <c r="D245" s="52"/>
      <c r="E245" s="106"/>
      <c r="F245" s="53">
        <f>SUM(F247)</f>
        <v>1964</v>
      </c>
      <c r="G245" s="53">
        <f>SUM(G247)</f>
        <v>0</v>
      </c>
      <c r="H245" s="53">
        <f>SUM(H247)</f>
        <v>1964</v>
      </c>
      <c r="I245" s="54"/>
      <c r="J245" s="53">
        <f>SUM(J247)</f>
        <v>0</v>
      </c>
      <c r="K245" s="54"/>
      <c r="L245" s="53">
        <f>SUM(L247)</f>
        <v>1964</v>
      </c>
      <c r="M245" s="53">
        <f>SUM(M247)</f>
        <v>0</v>
      </c>
      <c r="N245" s="53">
        <f>SUM(N247)</f>
        <v>1964</v>
      </c>
      <c r="O245" s="95"/>
      <c r="P245" s="95"/>
    </row>
    <row r="246" spans="1:17" ht="47.25" x14ac:dyDescent="0.2">
      <c r="A246" s="42"/>
      <c r="B246" s="43" t="s">
        <v>350</v>
      </c>
      <c r="C246" s="44" t="s">
        <v>351</v>
      </c>
      <c r="D246" s="45"/>
      <c r="E246" s="105"/>
      <c r="F246" s="46">
        <f>SUM(F247)</f>
        <v>1964</v>
      </c>
      <c r="G246" s="46">
        <f>SUM(G247)</f>
        <v>0</v>
      </c>
      <c r="H246" s="46">
        <f>SUM(H247)</f>
        <v>1964</v>
      </c>
      <c r="I246" s="47"/>
      <c r="J246" s="88"/>
      <c r="K246" s="47"/>
      <c r="L246" s="46">
        <f>SUM(L247)</f>
        <v>1964</v>
      </c>
      <c r="M246" s="46">
        <f>SUM(M247)</f>
        <v>0</v>
      </c>
      <c r="N246" s="46">
        <f>SUM(N247)</f>
        <v>1964</v>
      </c>
      <c r="O246" s="94"/>
      <c r="P246" s="94"/>
    </row>
    <row r="247" spans="1:17" ht="15.75" x14ac:dyDescent="0.2">
      <c r="A247" s="42"/>
      <c r="B247" s="43" t="s">
        <v>348</v>
      </c>
      <c r="C247" s="44" t="s">
        <v>352</v>
      </c>
      <c r="D247" s="45"/>
      <c r="E247" s="105"/>
      <c r="F247" s="46">
        <v>1964</v>
      </c>
      <c r="G247" s="46"/>
      <c r="H247" s="46">
        <v>1964</v>
      </c>
      <c r="I247" s="47"/>
      <c r="J247" s="88"/>
      <c r="K247" s="47"/>
      <c r="L247" s="46">
        <v>1964</v>
      </c>
      <c r="M247" s="46"/>
      <c r="N247" s="46">
        <v>1964</v>
      </c>
      <c r="O247" s="94"/>
      <c r="P247" s="94"/>
    </row>
    <row r="248" spans="1:17" ht="31.5" x14ac:dyDescent="0.2">
      <c r="A248" s="42"/>
      <c r="B248" s="43" t="s">
        <v>131</v>
      </c>
      <c r="C248" s="44" t="s">
        <v>352</v>
      </c>
      <c r="D248" s="45" t="s">
        <v>132</v>
      </c>
      <c r="E248" s="105"/>
      <c r="F248" s="46">
        <v>1964</v>
      </c>
      <c r="G248" s="46"/>
      <c r="H248" s="46">
        <v>1964</v>
      </c>
      <c r="I248" s="47"/>
      <c r="J248" s="88"/>
      <c r="K248" s="47"/>
      <c r="L248" s="46">
        <v>1964</v>
      </c>
      <c r="M248" s="46"/>
      <c r="N248" s="46">
        <v>1964</v>
      </c>
      <c r="O248" s="94"/>
      <c r="P248" s="94"/>
    </row>
    <row r="249" spans="1:17" ht="31.5" x14ac:dyDescent="0.2">
      <c r="A249" s="19" t="s">
        <v>353</v>
      </c>
      <c r="B249" s="20" t="s">
        <v>354</v>
      </c>
      <c r="C249" s="21" t="s">
        <v>355</v>
      </c>
      <c r="D249" s="22" t="s">
        <v>26</v>
      </c>
      <c r="E249" s="104"/>
      <c r="F249" s="23">
        <f t="shared" ref="F249:N249" si="70">F250+F263+F269</f>
        <v>67100.600000000006</v>
      </c>
      <c r="G249" s="23">
        <f t="shared" si="70"/>
        <v>0</v>
      </c>
      <c r="H249" s="23">
        <f t="shared" si="70"/>
        <v>67100.600000000006</v>
      </c>
      <c r="I249" s="24">
        <f t="shared" si="70"/>
        <v>0</v>
      </c>
      <c r="J249" s="23">
        <f t="shared" si="70"/>
        <v>0</v>
      </c>
      <c r="K249" s="24">
        <f t="shared" si="70"/>
        <v>0</v>
      </c>
      <c r="L249" s="23">
        <f t="shared" si="70"/>
        <v>67100.600000000006</v>
      </c>
      <c r="M249" s="23">
        <f t="shared" si="70"/>
        <v>0</v>
      </c>
      <c r="N249" s="23">
        <f t="shared" si="70"/>
        <v>67100.600000000006</v>
      </c>
      <c r="O249" s="93"/>
      <c r="P249" s="93"/>
      <c r="Q249" s="25"/>
    </row>
    <row r="250" spans="1:17" ht="15.75" x14ac:dyDescent="0.2">
      <c r="A250" s="49"/>
      <c r="B250" s="50" t="s">
        <v>356</v>
      </c>
      <c r="C250" s="51" t="s">
        <v>357</v>
      </c>
      <c r="D250" s="52" t="s">
        <v>26</v>
      </c>
      <c r="E250" s="106"/>
      <c r="F250" s="53">
        <f t="shared" ref="F250:N250" si="71">F251+F256</f>
        <v>44519.8</v>
      </c>
      <c r="G250" s="53">
        <f t="shared" si="71"/>
        <v>0</v>
      </c>
      <c r="H250" s="53">
        <f t="shared" si="71"/>
        <v>44519.8</v>
      </c>
      <c r="I250" s="54">
        <f t="shared" si="71"/>
        <v>0</v>
      </c>
      <c r="J250" s="53">
        <f t="shared" si="71"/>
        <v>0</v>
      </c>
      <c r="K250" s="54">
        <f t="shared" si="71"/>
        <v>0</v>
      </c>
      <c r="L250" s="53">
        <f t="shared" si="71"/>
        <v>44519.8</v>
      </c>
      <c r="M250" s="53">
        <f t="shared" si="71"/>
        <v>0</v>
      </c>
      <c r="N250" s="53">
        <f t="shared" si="71"/>
        <v>44519.8</v>
      </c>
      <c r="O250" s="95"/>
      <c r="P250" s="95"/>
      <c r="Q250" s="55"/>
    </row>
    <row r="251" spans="1:17" ht="15.75" x14ac:dyDescent="0.2">
      <c r="A251" s="42"/>
      <c r="B251" s="43" t="s">
        <v>358</v>
      </c>
      <c r="C251" s="44" t="s">
        <v>359</v>
      </c>
      <c r="D251" s="45" t="s">
        <v>26</v>
      </c>
      <c r="E251" s="105"/>
      <c r="F251" s="46">
        <f>F252</f>
        <v>34239.300000000003</v>
      </c>
      <c r="G251" s="46">
        <f>G252</f>
        <v>0</v>
      </c>
      <c r="H251" s="46">
        <f>H252</f>
        <v>34239.300000000003</v>
      </c>
      <c r="I251" s="47">
        <f>I252</f>
        <v>0</v>
      </c>
      <c r="J251" s="88"/>
      <c r="K251" s="47">
        <f>K252</f>
        <v>0</v>
      </c>
      <c r="L251" s="46">
        <f>L252</f>
        <v>34239.300000000003</v>
      </c>
      <c r="M251" s="46">
        <f>M252</f>
        <v>0</v>
      </c>
      <c r="N251" s="46">
        <f>N252</f>
        <v>34239.300000000003</v>
      </c>
      <c r="O251" s="94"/>
      <c r="P251" s="94"/>
    </row>
    <row r="252" spans="1:17" ht="31.5" x14ac:dyDescent="0.2">
      <c r="A252" s="42"/>
      <c r="B252" s="43" t="s">
        <v>39</v>
      </c>
      <c r="C252" s="44" t="s">
        <v>360</v>
      </c>
      <c r="D252" s="45" t="s">
        <v>26</v>
      </c>
      <c r="E252" s="105"/>
      <c r="F252" s="46">
        <f>F253+F254+F255</f>
        <v>34239.300000000003</v>
      </c>
      <c r="G252" s="46">
        <f>G253+G254+G255</f>
        <v>0</v>
      </c>
      <c r="H252" s="46">
        <f>H253+H254+H255</f>
        <v>34239.300000000003</v>
      </c>
      <c r="I252" s="47">
        <f>I253+I254+I255</f>
        <v>0</v>
      </c>
      <c r="J252" s="88"/>
      <c r="K252" s="47">
        <f>K253+K254+K255</f>
        <v>0</v>
      </c>
      <c r="L252" s="46">
        <f>L253+L254+L255</f>
        <v>34239.300000000003</v>
      </c>
      <c r="M252" s="46">
        <f>M253+M254+M255</f>
        <v>0</v>
      </c>
      <c r="N252" s="46">
        <f>N253+N254+N255</f>
        <v>34239.300000000003</v>
      </c>
      <c r="O252" s="94"/>
      <c r="P252" s="94"/>
    </row>
    <row r="253" spans="1:17" ht="64.150000000000006" customHeight="1" x14ac:dyDescent="0.2">
      <c r="A253" s="42"/>
      <c r="B253" s="43" t="s">
        <v>31</v>
      </c>
      <c r="C253" s="44" t="s">
        <v>360</v>
      </c>
      <c r="D253" s="45" t="s">
        <v>32</v>
      </c>
      <c r="E253" s="105"/>
      <c r="F253" s="46">
        <v>23794</v>
      </c>
      <c r="G253" s="46"/>
      <c r="H253" s="46">
        <v>23794</v>
      </c>
      <c r="I253" s="47">
        <v>0</v>
      </c>
      <c r="J253" s="88"/>
      <c r="K253" s="47">
        <v>0</v>
      </c>
      <c r="L253" s="46">
        <v>23794</v>
      </c>
      <c r="M253" s="46"/>
      <c r="N253" s="46">
        <v>23794</v>
      </c>
      <c r="O253" s="94"/>
      <c r="P253" s="94"/>
    </row>
    <row r="254" spans="1:17" ht="31.5" x14ac:dyDescent="0.2">
      <c r="A254" s="42"/>
      <c r="B254" s="43" t="s">
        <v>35</v>
      </c>
      <c r="C254" s="44" t="s">
        <v>360</v>
      </c>
      <c r="D254" s="45" t="s">
        <v>36</v>
      </c>
      <c r="E254" s="105"/>
      <c r="F254" s="46">
        <v>10367.9</v>
      </c>
      <c r="G254" s="46"/>
      <c r="H254" s="46">
        <v>10367.9</v>
      </c>
      <c r="I254" s="47">
        <v>0</v>
      </c>
      <c r="J254" s="88"/>
      <c r="K254" s="47">
        <v>0</v>
      </c>
      <c r="L254" s="46">
        <v>10367.9</v>
      </c>
      <c r="M254" s="46"/>
      <c r="N254" s="46">
        <v>10367.9</v>
      </c>
      <c r="O254" s="94"/>
      <c r="P254" s="94"/>
    </row>
    <row r="255" spans="1:17" ht="15.75" x14ac:dyDescent="0.2">
      <c r="A255" s="42"/>
      <c r="B255" s="43" t="s">
        <v>41</v>
      </c>
      <c r="C255" s="44" t="s">
        <v>360</v>
      </c>
      <c r="D255" s="45" t="s">
        <v>42</v>
      </c>
      <c r="E255" s="105"/>
      <c r="F255" s="46">
        <v>77.400000000000006</v>
      </c>
      <c r="G255" s="46"/>
      <c r="H255" s="46">
        <v>77.400000000000006</v>
      </c>
      <c r="I255" s="47">
        <v>0</v>
      </c>
      <c r="J255" s="88"/>
      <c r="K255" s="47">
        <v>0</v>
      </c>
      <c r="L255" s="46">
        <v>77.400000000000006</v>
      </c>
      <c r="M255" s="46"/>
      <c r="N255" s="46">
        <v>77.400000000000006</v>
      </c>
      <c r="O255" s="94"/>
      <c r="P255" s="94"/>
    </row>
    <row r="256" spans="1:17" ht="31.5" x14ac:dyDescent="0.2">
      <c r="A256" s="42"/>
      <c r="B256" s="43" t="s">
        <v>361</v>
      </c>
      <c r="C256" s="44" t="s">
        <v>362</v>
      </c>
      <c r="D256" s="45" t="s">
        <v>26</v>
      </c>
      <c r="E256" s="105"/>
      <c r="F256" s="46">
        <f>F257+F260</f>
        <v>10280.5</v>
      </c>
      <c r="G256" s="46">
        <f>G257+G260</f>
        <v>0</v>
      </c>
      <c r="H256" s="46">
        <f>H257+H260</f>
        <v>10280.5</v>
      </c>
      <c r="I256" s="47">
        <f>I257+I260</f>
        <v>0</v>
      </c>
      <c r="J256" s="88"/>
      <c r="K256" s="47">
        <f>K257+K260</f>
        <v>0</v>
      </c>
      <c r="L256" s="46">
        <f>L257+L260</f>
        <v>10280.5</v>
      </c>
      <c r="M256" s="46">
        <f>M257+M260</f>
        <v>0</v>
      </c>
      <c r="N256" s="46">
        <f>N257+N260</f>
        <v>10280.5</v>
      </c>
      <c r="O256" s="94"/>
      <c r="P256" s="94"/>
    </row>
    <row r="257" spans="1:16" ht="31.5" x14ac:dyDescent="0.2">
      <c r="A257" s="42"/>
      <c r="B257" s="43" t="s">
        <v>39</v>
      </c>
      <c r="C257" s="44" t="s">
        <v>363</v>
      </c>
      <c r="D257" s="45" t="s">
        <v>26</v>
      </c>
      <c r="E257" s="105"/>
      <c r="F257" s="46">
        <f>F258+F259</f>
        <v>9205.9</v>
      </c>
      <c r="G257" s="46">
        <f>G258+G259</f>
        <v>0</v>
      </c>
      <c r="H257" s="46">
        <f>H258+H259</f>
        <v>9205.9</v>
      </c>
      <c r="I257" s="47">
        <f>I258+I259</f>
        <v>0</v>
      </c>
      <c r="J257" s="88"/>
      <c r="K257" s="47">
        <f>K258+K259</f>
        <v>0</v>
      </c>
      <c r="L257" s="46">
        <f>L258+L259</f>
        <v>9205.9</v>
      </c>
      <c r="M257" s="46">
        <f>M258+M259</f>
        <v>0</v>
      </c>
      <c r="N257" s="46">
        <f>N258+N259</f>
        <v>9205.9</v>
      </c>
      <c r="O257" s="94"/>
      <c r="P257" s="94"/>
    </row>
    <row r="258" spans="1:16" ht="64.150000000000006" customHeight="1" x14ac:dyDescent="0.2">
      <c r="A258" s="42"/>
      <c r="B258" s="43" t="s">
        <v>31</v>
      </c>
      <c r="C258" s="44" t="s">
        <v>363</v>
      </c>
      <c r="D258" s="45" t="s">
        <v>32</v>
      </c>
      <c r="E258" s="105"/>
      <c r="F258" s="46">
        <v>8505.9</v>
      </c>
      <c r="G258" s="46"/>
      <c r="H258" s="46">
        <v>8505.9</v>
      </c>
      <c r="I258" s="47">
        <v>0</v>
      </c>
      <c r="J258" s="88"/>
      <c r="K258" s="47">
        <v>0</v>
      </c>
      <c r="L258" s="46">
        <v>8505.9</v>
      </c>
      <c r="M258" s="46"/>
      <c r="N258" s="46">
        <v>8505.9</v>
      </c>
      <c r="O258" s="94"/>
      <c r="P258" s="94"/>
    </row>
    <row r="259" spans="1:16" ht="31.5" x14ac:dyDescent="0.2">
      <c r="A259" s="42"/>
      <c r="B259" s="43" t="s">
        <v>35</v>
      </c>
      <c r="C259" s="44" t="s">
        <v>363</v>
      </c>
      <c r="D259" s="45" t="s">
        <v>36</v>
      </c>
      <c r="E259" s="105"/>
      <c r="F259" s="46">
        <v>700</v>
      </c>
      <c r="G259" s="46"/>
      <c r="H259" s="46">
        <v>700</v>
      </c>
      <c r="I259" s="47">
        <v>0</v>
      </c>
      <c r="J259" s="88"/>
      <c r="K259" s="47">
        <v>0</v>
      </c>
      <c r="L259" s="46">
        <v>700</v>
      </c>
      <c r="M259" s="46"/>
      <c r="N259" s="46">
        <v>700</v>
      </c>
      <c r="O259" s="94"/>
      <c r="P259" s="94"/>
    </row>
    <row r="260" spans="1:16" ht="31.5" x14ac:dyDescent="0.2">
      <c r="A260" s="42"/>
      <c r="B260" s="43" t="s">
        <v>364</v>
      </c>
      <c r="C260" s="44" t="s">
        <v>365</v>
      </c>
      <c r="D260" s="45" t="s">
        <v>26</v>
      </c>
      <c r="E260" s="105"/>
      <c r="F260" s="46">
        <f>F261+F262</f>
        <v>1074.5999999999999</v>
      </c>
      <c r="G260" s="46"/>
      <c r="H260" s="46">
        <f>H261+H262</f>
        <v>1074.5999999999999</v>
      </c>
      <c r="I260" s="47">
        <f>I261+I262</f>
        <v>0</v>
      </c>
      <c r="J260" s="88"/>
      <c r="K260" s="47">
        <f>K261+K262</f>
        <v>0</v>
      </c>
      <c r="L260" s="46">
        <f>L261+L262</f>
        <v>1074.5999999999999</v>
      </c>
      <c r="M260" s="46"/>
      <c r="N260" s="46">
        <f>N261+N262</f>
        <v>1074.5999999999999</v>
      </c>
      <c r="O260" s="94"/>
      <c r="P260" s="94"/>
    </row>
    <row r="261" spans="1:16" ht="31.5" x14ac:dyDescent="0.2">
      <c r="A261" s="42"/>
      <c r="B261" s="43" t="s">
        <v>35</v>
      </c>
      <c r="C261" s="44" t="s">
        <v>365</v>
      </c>
      <c r="D261" s="45" t="s">
        <v>36</v>
      </c>
      <c r="E261" s="105"/>
      <c r="F261" s="46">
        <f>1000.2-745.2</f>
        <v>255</v>
      </c>
      <c r="G261" s="46"/>
      <c r="H261" s="46">
        <f>1000.2-745.2</f>
        <v>255</v>
      </c>
      <c r="I261" s="47">
        <v>0</v>
      </c>
      <c r="J261" s="88"/>
      <c r="K261" s="47">
        <v>0</v>
      </c>
      <c r="L261" s="46">
        <f>1000.2-745.2</f>
        <v>255</v>
      </c>
      <c r="M261" s="46"/>
      <c r="N261" s="46">
        <f>1000.2-745.2</f>
        <v>255</v>
      </c>
      <c r="O261" s="94"/>
      <c r="P261" s="94"/>
    </row>
    <row r="262" spans="1:16" ht="15.75" x14ac:dyDescent="0.2">
      <c r="A262" s="42"/>
      <c r="B262" s="43" t="s">
        <v>41</v>
      </c>
      <c r="C262" s="44" t="s">
        <v>365</v>
      </c>
      <c r="D262" s="45" t="s">
        <v>42</v>
      </c>
      <c r="E262" s="105"/>
      <c r="F262" s="46">
        <f>74.4+745.2</f>
        <v>819.6</v>
      </c>
      <c r="G262" s="46"/>
      <c r="H262" s="46">
        <f>74.4+745.2</f>
        <v>819.6</v>
      </c>
      <c r="I262" s="47">
        <v>0</v>
      </c>
      <c r="J262" s="88"/>
      <c r="K262" s="47">
        <v>0</v>
      </c>
      <c r="L262" s="46">
        <f>74.4+745.2</f>
        <v>819.6</v>
      </c>
      <c r="M262" s="46"/>
      <c r="N262" s="46">
        <f>74.4+745.2</f>
        <v>819.6</v>
      </c>
      <c r="O262" s="94"/>
      <c r="P262" s="94"/>
    </row>
    <row r="263" spans="1:16" ht="15.75" x14ac:dyDescent="0.2">
      <c r="A263" s="49"/>
      <c r="B263" s="50" t="s">
        <v>366</v>
      </c>
      <c r="C263" s="51" t="s">
        <v>367</v>
      </c>
      <c r="D263" s="52" t="s">
        <v>26</v>
      </c>
      <c r="E263" s="106"/>
      <c r="F263" s="53">
        <f t="shared" ref="F263:N263" si="72">F264</f>
        <v>7170.8</v>
      </c>
      <c r="G263" s="53">
        <f t="shared" si="72"/>
        <v>0</v>
      </c>
      <c r="H263" s="53">
        <f t="shared" si="72"/>
        <v>7170.8</v>
      </c>
      <c r="I263" s="54">
        <f t="shared" si="72"/>
        <v>0</v>
      </c>
      <c r="J263" s="53">
        <f t="shared" si="72"/>
        <v>0</v>
      </c>
      <c r="K263" s="54">
        <f t="shared" si="72"/>
        <v>0</v>
      </c>
      <c r="L263" s="53">
        <f t="shared" si="72"/>
        <v>7170.8</v>
      </c>
      <c r="M263" s="53">
        <f t="shared" si="72"/>
        <v>0</v>
      </c>
      <c r="N263" s="53">
        <f t="shared" si="72"/>
        <v>7170.8</v>
      </c>
      <c r="O263" s="95"/>
      <c r="P263" s="95"/>
    </row>
    <row r="264" spans="1:16" ht="39" customHeight="1" x14ac:dyDescent="0.2">
      <c r="A264" s="42"/>
      <c r="B264" s="43" t="s">
        <v>368</v>
      </c>
      <c r="C264" s="44" t="s">
        <v>369</v>
      </c>
      <c r="D264" s="45" t="s">
        <v>26</v>
      </c>
      <c r="E264" s="105"/>
      <c r="F264" s="46">
        <f>F265+F267</f>
        <v>7170.8</v>
      </c>
      <c r="G264" s="46">
        <f>G265+G267</f>
        <v>0</v>
      </c>
      <c r="H264" s="46">
        <f>H265+H267</f>
        <v>7170.8</v>
      </c>
      <c r="I264" s="47">
        <f>I265+I267</f>
        <v>0</v>
      </c>
      <c r="J264" s="88"/>
      <c r="K264" s="47">
        <f>K265+K267</f>
        <v>0</v>
      </c>
      <c r="L264" s="46">
        <f>L265+L267</f>
        <v>7170.8</v>
      </c>
      <c r="M264" s="46">
        <f>M265+M267</f>
        <v>0</v>
      </c>
      <c r="N264" s="46">
        <f>N265+N267</f>
        <v>7170.8</v>
      </c>
      <c r="O264" s="94"/>
      <c r="P264" s="94"/>
    </row>
    <row r="265" spans="1:16" ht="15.75" x14ac:dyDescent="0.2">
      <c r="A265" s="42"/>
      <c r="B265" s="43" t="s">
        <v>370</v>
      </c>
      <c r="C265" s="44" t="s">
        <v>371</v>
      </c>
      <c r="D265" s="45" t="s">
        <v>26</v>
      </c>
      <c r="E265" s="105"/>
      <c r="F265" s="46">
        <f>F266</f>
        <v>6970.8</v>
      </c>
      <c r="G265" s="46">
        <f>G266</f>
        <v>0</v>
      </c>
      <c r="H265" s="46">
        <f>H266</f>
        <v>6970.8</v>
      </c>
      <c r="I265" s="47">
        <f>I266</f>
        <v>0</v>
      </c>
      <c r="J265" s="88"/>
      <c r="K265" s="47">
        <f>K266</f>
        <v>0</v>
      </c>
      <c r="L265" s="46">
        <f>L266</f>
        <v>6970.8</v>
      </c>
      <c r="M265" s="46">
        <f>M266</f>
        <v>0</v>
      </c>
      <c r="N265" s="46">
        <f>N266</f>
        <v>6970.8</v>
      </c>
      <c r="O265" s="94"/>
      <c r="P265" s="94"/>
    </row>
    <row r="266" spans="1:16" ht="22.15" customHeight="1" x14ac:dyDescent="0.2">
      <c r="A266" s="42"/>
      <c r="B266" s="43" t="s">
        <v>372</v>
      </c>
      <c r="C266" s="44" t="s">
        <v>371</v>
      </c>
      <c r="D266" s="45" t="s">
        <v>373</v>
      </c>
      <c r="E266" s="105"/>
      <c r="F266" s="56">
        <f>4650+2320.8</f>
        <v>6970.8</v>
      </c>
      <c r="G266" s="56"/>
      <c r="H266" s="56">
        <f>4650+2320.8</f>
        <v>6970.8</v>
      </c>
      <c r="I266" s="47">
        <v>0</v>
      </c>
      <c r="J266" s="111"/>
      <c r="K266" s="47">
        <v>0</v>
      </c>
      <c r="L266" s="56">
        <f>4650+2320.8</f>
        <v>6970.8</v>
      </c>
      <c r="M266" s="56"/>
      <c r="N266" s="56">
        <f>4650+2320.8</f>
        <v>6970.8</v>
      </c>
      <c r="O266" s="94"/>
      <c r="P266" s="94"/>
    </row>
    <row r="267" spans="1:16" ht="31.5" x14ac:dyDescent="0.2">
      <c r="A267" s="42"/>
      <c r="B267" s="43" t="s">
        <v>374</v>
      </c>
      <c r="C267" s="44" t="s">
        <v>375</v>
      </c>
      <c r="D267" s="45" t="s">
        <v>26</v>
      </c>
      <c r="E267" s="105"/>
      <c r="F267" s="46">
        <f>F268</f>
        <v>200</v>
      </c>
      <c r="G267" s="46">
        <f>G268</f>
        <v>0</v>
      </c>
      <c r="H267" s="46">
        <f>H268</f>
        <v>200</v>
      </c>
      <c r="I267" s="47">
        <f>I268</f>
        <v>0</v>
      </c>
      <c r="J267" s="88"/>
      <c r="K267" s="47">
        <f>K268</f>
        <v>0</v>
      </c>
      <c r="L267" s="46">
        <f>L268</f>
        <v>200</v>
      </c>
      <c r="M267" s="46">
        <f>M268</f>
        <v>0</v>
      </c>
      <c r="N267" s="46">
        <f>N268</f>
        <v>200</v>
      </c>
      <c r="O267" s="94"/>
      <c r="P267" s="94"/>
    </row>
    <row r="268" spans="1:16" ht="31.5" x14ac:dyDescent="0.2">
      <c r="A268" s="42"/>
      <c r="B268" s="43" t="s">
        <v>35</v>
      </c>
      <c r="C268" s="44" t="s">
        <v>375</v>
      </c>
      <c r="D268" s="45" t="s">
        <v>36</v>
      </c>
      <c r="E268" s="105"/>
      <c r="F268" s="46">
        <v>200</v>
      </c>
      <c r="G268" s="46"/>
      <c r="H268" s="46">
        <v>200</v>
      </c>
      <c r="I268" s="47">
        <v>0</v>
      </c>
      <c r="J268" s="88"/>
      <c r="K268" s="47">
        <v>0</v>
      </c>
      <c r="L268" s="46">
        <v>200</v>
      </c>
      <c r="M268" s="46"/>
      <c r="N268" s="46">
        <v>200</v>
      </c>
      <c r="O268" s="94"/>
      <c r="P268" s="94"/>
    </row>
    <row r="269" spans="1:16" ht="31.5" x14ac:dyDescent="0.2">
      <c r="A269" s="49"/>
      <c r="B269" s="50" t="s">
        <v>376</v>
      </c>
      <c r="C269" s="51" t="s">
        <v>377</v>
      </c>
      <c r="D269" s="52" t="s">
        <v>26</v>
      </c>
      <c r="E269" s="106"/>
      <c r="F269" s="53">
        <f t="shared" ref="F269:N269" si="73">F270+F274+F277</f>
        <v>15410</v>
      </c>
      <c r="G269" s="53">
        <f t="shared" si="73"/>
        <v>0</v>
      </c>
      <c r="H269" s="53">
        <f t="shared" si="73"/>
        <v>15410</v>
      </c>
      <c r="I269" s="54">
        <f t="shared" si="73"/>
        <v>0</v>
      </c>
      <c r="J269" s="53">
        <f t="shared" si="73"/>
        <v>0</v>
      </c>
      <c r="K269" s="54">
        <f t="shared" si="73"/>
        <v>0</v>
      </c>
      <c r="L269" s="53">
        <f t="shared" si="73"/>
        <v>15410</v>
      </c>
      <c r="M269" s="53">
        <f t="shared" si="73"/>
        <v>0</v>
      </c>
      <c r="N269" s="53">
        <f t="shared" si="73"/>
        <v>15410</v>
      </c>
      <c r="O269" s="95"/>
      <c r="P269" s="95"/>
    </row>
    <row r="270" spans="1:16" ht="37.9" customHeight="1" x14ac:dyDescent="0.2">
      <c r="A270" s="42"/>
      <c r="B270" s="43" t="s">
        <v>378</v>
      </c>
      <c r="C270" s="44" t="s">
        <v>379</v>
      </c>
      <c r="D270" s="45" t="s">
        <v>26</v>
      </c>
      <c r="E270" s="105"/>
      <c r="F270" s="46">
        <f>F271</f>
        <v>4150.8999999999996</v>
      </c>
      <c r="G270" s="46">
        <f>G271</f>
        <v>0</v>
      </c>
      <c r="H270" s="46">
        <f>H271</f>
        <v>4150.8999999999996</v>
      </c>
      <c r="I270" s="47">
        <f>I271</f>
        <v>0</v>
      </c>
      <c r="J270" s="88"/>
      <c r="K270" s="47">
        <f>K271</f>
        <v>0</v>
      </c>
      <c r="L270" s="46">
        <f>L271</f>
        <v>4150.8999999999996</v>
      </c>
      <c r="M270" s="46">
        <f>M271</f>
        <v>0</v>
      </c>
      <c r="N270" s="46">
        <f>N271</f>
        <v>4150.8999999999996</v>
      </c>
      <c r="O270" s="94"/>
      <c r="P270" s="94"/>
    </row>
    <row r="271" spans="1:16" ht="31.5" x14ac:dyDescent="0.2">
      <c r="A271" s="42"/>
      <c r="B271" s="43" t="s">
        <v>93</v>
      </c>
      <c r="C271" s="44" t="s">
        <v>380</v>
      </c>
      <c r="D271" s="45" t="s">
        <v>26</v>
      </c>
      <c r="E271" s="105"/>
      <c r="F271" s="46">
        <f>F272+F273</f>
        <v>4150.8999999999996</v>
      </c>
      <c r="G271" s="46">
        <f>G272+G273</f>
        <v>0</v>
      </c>
      <c r="H271" s="46">
        <f>H272+H273</f>
        <v>4150.8999999999996</v>
      </c>
      <c r="I271" s="47">
        <f>I272+I273</f>
        <v>0</v>
      </c>
      <c r="J271" s="88"/>
      <c r="K271" s="47">
        <f>K272+K273</f>
        <v>0</v>
      </c>
      <c r="L271" s="46">
        <f>L272+L273</f>
        <v>4150.8999999999996</v>
      </c>
      <c r="M271" s="46">
        <f>M272+M273</f>
        <v>0</v>
      </c>
      <c r="N271" s="46">
        <f>N272+N273</f>
        <v>4150.8999999999996</v>
      </c>
      <c r="O271" s="94"/>
      <c r="P271" s="94"/>
    </row>
    <row r="272" spans="1:16" ht="64.900000000000006" customHeight="1" x14ac:dyDescent="0.2">
      <c r="A272" s="42"/>
      <c r="B272" s="43" t="s">
        <v>31</v>
      </c>
      <c r="C272" s="44" t="s">
        <v>380</v>
      </c>
      <c r="D272" s="45" t="s">
        <v>32</v>
      </c>
      <c r="E272" s="105"/>
      <c r="F272" s="46">
        <v>4140.8999999999996</v>
      </c>
      <c r="G272" s="46"/>
      <c r="H272" s="46">
        <v>4140.8999999999996</v>
      </c>
      <c r="I272" s="47">
        <v>0</v>
      </c>
      <c r="J272" s="88"/>
      <c r="K272" s="47">
        <v>0</v>
      </c>
      <c r="L272" s="46">
        <v>4140.8999999999996</v>
      </c>
      <c r="M272" s="46"/>
      <c r="N272" s="46">
        <v>4140.8999999999996</v>
      </c>
      <c r="O272" s="94"/>
      <c r="P272" s="94"/>
    </row>
    <row r="273" spans="1:16" ht="31.5" x14ac:dyDescent="0.2">
      <c r="A273" s="42"/>
      <c r="B273" s="43" t="s">
        <v>35</v>
      </c>
      <c r="C273" s="44" t="s">
        <v>380</v>
      </c>
      <c r="D273" s="45" t="s">
        <v>36</v>
      </c>
      <c r="E273" s="105"/>
      <c r="F273" s="46">
        <v>10</v>
      </c>
      <c r="G273" s="46"/>
      <c r="H273" s="46">
        <v>10</v>
      </c>
      <c r="I273" s="47">
        <v>0</v>
      </c>
      <c r="J273" s="88"/>
      <c r="K273" s="47">
        <v>0</v>
      </c>
      <c r="L273" s="46">
        <v>10</v>
      </c>
      <c r="M273" s="46"/>
      <c r="N273" s="46">
        <v>10</v>
      </c>
      <c r="O273" s="94"/>
      <c r="P273" s="94"/>
    </row>
    <row r="274" spans="1:16" ht="47.25" x14ac:dyDescent="0.2">
      <c r="A274" s="42"/>
      <c r="B274" s="43" t="s">
        <v>381</v>
      </c>
      <c r="C274" s="44" t="s">
        <v>382</v>
      </c>
      <c r="D274" s="45" t="s">
        <v>26</v>
      </c>
      <c r="E274" s="105"/>
      <c r="F274" s="46">
        <f t="shared" ref="F274:N275" si="74">F275</f>
        <v>10344.1</v>
      </c>
      <c r="G274" s="46">
        <f t="shared" si="74"/>
        <v>0</v>
      </c>
      <c r="H274" s="46">
        <f t="shared" si="74"/>
        <v>10344.1</v>
      </c>
      <c r="I274" s="47">
        <f t="shared" si="74"/>
        <v>0</v>
      </c>
      <c r="J274" s="88"/>
      <c r="K274" s="47">
        <f t="shared" si="74"/>
        <v>0</v>
      </c>
      <c r="L274" s="46">
        <f t="shared" si="74"/>
        <v>10344.1</v>
      </c>
      <c r="M274" s="46">
        <f t="shared" si="74"/>
        <v>0</v>
      </c>
      <c r="N274" s="46">
        <f t="shared" si="74"/>
        <v>10344.1</v>
      </c>
      <c r="O274" s="94"/>
      <c r="P274" s="94"/>
    </row>
    <row r="275" spans="1:16" ht="31.5" x14ac:dyDescent="0.2">
      <c r="A275" s="42"/>
      <c r="B275" s="43" t="s">
        <v>39</v>
      </c>
      <c r="C275" s="44" t="s">
        <v>383</v>
      </c>
      <c r="D275" s="45" t="s">
        <v>26</v>
      </c>
      <c r="E275" s="105"/>
      <c r="F275" s="46">
        <f t="shared" si="74"/>
        <v>10344.1</v>
      </c>
      <c r="G275" s="46">
        <f t="shared" si="74"/>
        <v>0</v>
      </c>
      <c r="H275" s="46">
        <f t="shared" si="74"/>
        <v>10344.1</v>
      </c>
      <c r="I275" s="47">
        <f t="shared" si="74"/>
        <v>0</v>
      </c>
      <c r="J275" s="88"/>
      <c r="K275" s="47">
        <f t="shared" si="74"/>
        <v>0</v>
      </c>
      <c r="L275" s="46">
        <f t="shared" si="74"/>
        <v>10344.1</v>
      </c>
      <c r="M275" s="46">
        <f t="shared" si="74"/>
        <v>0</v>
      </c>
      <c r="N275" s="46">
        <f t="shared" si="74"/>
        <v>10344.1</v>
      </c>
      <c r="O275" s="94"/>
      <c r="P275" s="94"/>
    </row>
    <row r="276" spans="1:16" ht="31.5" x14ac:dyDescent="0.2">
      <c r="A276" s="42"/>
      <c r="B276" s="43" t="s">
        <v>74</v>
      </c>
      <c r="C276" s="44" t="s">
        <v>383</v>
      </c>
      <c r="D276" s="45" t="s">
        <v>75</v>
      </c>
      <c r="E276" s="105"/>
      <c r="F276" s="46">
        <v>10344.1</v>
      </c>
      <c r="G276" s="46"/>
      <c r="H276" s="46">
        <v>10344.1</v>
      </c>
      <c r="I276" s="47">
        <v>0</v>
      </c>
      <c r="J276" s="88"/>
      <c r="K276" s="47">
        <v>0</v>
      </c>
      <c r="L276" s="46">
        <v>10344.1</v>
      </c>
      <c r="M276" s="46"/>
      <c r="N276" s="46">
        <v>10344.1</v>
      </c>
      <c r="O276" s="94"/>
      <c r="P276" s="94"/>
    </row>
    <row r="277" spans="1:16" ht="36.6" customHeight="1" x14ac:dyDescent="0.2">
      <c r="A277" s="42"/>
      <c r="B277" s="43" t="s">
        <v>384</v>
      </c>
      <c r="C277" s="44" t="s">
        <v>385</v>
      </c>
      <c r="D277" s="45" t="s">
        <v>26</v>
      </c>
      <c r="E277" s="105"/>
      <c r="F277" s="46">
        <f>F278</f>
        <v>915</v>
      </c>
      <c r="G277" s="46">
        <f>G278</f>
        <v>0</v>
      </c>
      <c r="H277" s="46">
        <f>H278</f>
        <v>915</v>
      </c>
      <c r="I277" s="47">
        <f>I278</f>
        <v>0</v>
      </c>
      <c r="J277" s="88"/>
      <c r="K277" s="47">
        <f>K278</f>
        <v>0</v>
      </c>
      <c r="L277" s="46">
        <f>L278</f>
        <v>915</v>
      </c>
      <c r="M277" s="46">
        <f>M278</f>
        <v>0</v>
      </c>
      <c r="N277" s="46">
        <f>N278</f>
        <v>915</v>
      </c>
      <c r="O277" s="94"/>
      <c r="P277" s="94"/>
    </row>
    <row r="278" spans="1:16" ht="36" customHeight="1" x14ac:dyDescent="0.2">
      <c r="A278" s="42"/>
      <c r="B278" s="43" t="s">
        <v>386</v>
      </c>
      <c r="C278" s="44" t="s">
        <v>387</v>
      </c>
      <c r="D278" s="45" t="s">
        <v>26</v>
      </c>
      <c r="E278" s="105"/>
      <c r="F278" s="46">
        <f>F279+F280</f>
        <v>915</v>
      </c>
      <c r="G278" s="46">
        <f>G279+G280</f>
        <v>0</v>
      </c>
      <c r="H278" s="46">
        <f>H279+H280</f>
        <v>915</v>
      </c>
      <c r="I278" s="47">
        <f>I279+I280</f>
        <v>0</v>
      </c>
      <c r="J278" s="88"/>
      <c r="K278" s="47">
        <f>K279+K280</f>
        <v>0</v>
      </c>
      <c r="L278" s="46">
        <f>L279+L280</f>
        <v>915</v>
      </c>
      <c r="M278" s="46">
        <f>M279+M280</f>
        <v>0</v>
      </c>
      <c r="N278" s="46">
        <f>N279+N280</f>
        <v>915</v>
      </c>
      <c r="O278" s="94"/>
      <c r="P278" s="94"/>
    </row>
    <row r="279" spans="1:16" ht="31.5" x14ac:dyDescent="0.2">
      <c r="A279" s="42"/>
      <c r="B279" s="43" t="s">
        <v>35</v>
      </c>
      <c r="C279" s="44" t="s">
        <v>387</v>
      </c>
      <c r="D279" s="45" t="s">
        <v>36</v>
      </c>
      <c r="E279" s="105"/>
      <c r="F279" s="46">
        <v>900</v>
      </c>
      <c r="G279" s="46"/>
      <c r="H279" s="46">
        <v>900</v>
      </c>
      <c r="I279" s="47">
        <v>0</v>
      </c>
      <c r="J279" s="88"/>
      <c r="K279" s="47">
        <v>0</v>
      </c>
      <c r="L279" s="46">
        <v>900</v>
      </c>
      <c r="M279" s="46"/>
      <c r="N279" s="46">
        <v>900</v>
      </c>
      <c r="O279" s="94"/>
      <c r="P279" s="94"/>
    </row>
    <row r="280" spans="1:16" ht="15.75" x14ac:dyDescent="0.2">
      <c r="A280" s="42"/>
      <c r="B280" s="43" t="s">
        <v>41</v>
      </c>
      <c r="C280" s="44" t="s">
        <v>387</v>
      </c>
      <c r="D280" s="45" t="s">
        <v>42</v>
      </c>
      <c r="E280" s="105"/>
      <c r="F280" s="46">
        <v>15</v>
      </c>
      <c r="G280" s="46"/>
      <c r="H280" s="46">
        <v>15</v>
      </c>
      <c r="I280" s="47">
        <v>0</v>
      </c>
      <c r="J280" s="88"/>
      <c r="K280" s="47">
        <v>0</v>
      </c>
      <c r="L280" s="46">
        <v>15</v>
      </c>
      <c r="M280" s="46"/>
      <c r="N280" s="46">
        <v>15</v>
      </c>
      <c r="O280" s="94"/>
      <c r="P280" s="94"/>
    </row>
    <row r="281" spans="1:16" ht="15.75" x14ac:dyDescent="0.2">
      <c r="A281" s="19" t="s">
        <v>388</v>
      </c>
      <c r="B281" s="20" t="s">
        <v>389</v>
      </c>
      <c r="C281" s="21" t="s">
        <v>390</v>
      </c>
      <c r="D281" s="22" t="s">
        <v>26</v>
      </c>
      <c r="E281" s="104"/>
      <c r="F281" s="23">
        <f t="shared" ref="F281:H283" si="75">F282</f>
        <v>50</v>
      </c>
      <c r="G281" s="23">
        <f t="shared" si="75"/>
        <v>0</v>
      </c>
      <c r="H281" s="23">
        <f t="shared" si="75"/>
        <v>50</v>
      </c>
      <c r="I281" s="24">
        <f t="shared" ref="I281:K283" si="76">I282</f>
        <v>0</v>
      </c>
      <c r="J281" s="23">
        <f>J282</f>
        <v>0</v>
      </c>
      <c r="K281" s="24">
        <f t="shared" si="76"/>
        <v>0</v>
      </c>
      <c r="L281" s="23">
        <f t="shared" ref="L281:N283" si="77">L282</f>
        <v>50</v>
      </c>
      <c r="M281" s="23">
        <f t="shared" si="77"/>
        <v>0</v>
      </c>
      <c r="N281" s="23">
        <f t="shared" si="77"/>
        <v>50</v>
      </c>
      <c r="O281" s="93"/>
      <c r="P281" s="93"/>
    </row>
    <row r="282" spans="1:16" ht="51.6" customHeight="1" x14ac:dyDescent="0.2">
      <c r="A282" s="42"/>
      <c r="B282" s="43" t="s">
        <v>391</v>
      </c>
      <c r="C282" s="44" t="s">
        <v>392</v>
      </c>
      <c r="D282" s="45" t="s">
        <v>26</v>
      </c>
      <c r="E282" s="105"/>
      <c r="F282" s="46">
        <f t="shared" si="75"/>
        <v>50</v>
      </c>
      <c r="G282" s="46">
        <f t="shared" si="75"/>
        <v>0</v>
      </c>
      <c r="H282" s="46">
        <f t="shared" si="75"/>
        <v>50</v>
      </c>
      <c r="I282" s="47">
        <f t="shared" si="76"/>
        <v>0</v>
      </c>
      <c r="J282" s="88"/>
      <c r="K282" s="47">
        <f t="shared" si="76"/>
        <v>0</v>
      </c>
      <c r="L282" s="46">
        <f t="shared" si="77"/>
        <v>50</v>
      </c>
      <c r="M282" s="46">
        <f t="shared" si="77"/>
        <v>0</v>
      </c>
      <c r="N282" s="46">
        <f t="shared" si="77"/>
        <v>50</v>
      </c>
      <c r="O282" s="94"/>
      <c r="P282" s="94"/>
    </row>
    <row r="283" spans="1:16" ht="31.5" x14ac:dyDescent="0.2">
      <c r="A283" s="42"/>
      <c r="B283" s="43" t="s">
        <v>393</v>
      </c>
      <c r="C283" s="44" t="s">
        <v>394</v>
      </c>
      <c r="D283" s="45" t="s">
        <v>26</v>
      </c>
      <c r="E283" s="105"/>
      <c r="F283" s="46">
        <f t="shared" si="75"/>
        <v>50</v>
      </c>
      <c r="G283" s="46">
        <f t="shared" si="75"/>
        <v>0</v>
      </c>
      <c r="H283" s="46">
        <f t="shared" si="75"/>
        <v>50</v>
      </c>
      <c r="I283" s="47">
        <f t="shared" si="76"/>
        <v>0</v>
      </c>
      <c r="J283" s="88"/>
      <c r="K283" s="47">
        <f t="shared" si="76"/>
        <v>0</v>
      </c>
      <c r="L283" s="46">
        <f t="shared" si="77"/>
        <v>50</v>
      </c>
      <c r="M283" s="46">
        <f t="shared" si="77"/>
        <v>0</v>
      </c>
      <c r="N283" s="46">
        <f t="shared" si="77"/>
        <v>50</v>
      </c>
      <c r="O283" s="94"/>
      <c r="P283" s="94"/>
    </row>
    <row r="284" spans="1:16" ht="31.5" x14ac:dyDescent="0.2">
      <c r="A284" s="42"/>
      <c r="B284" s="43" t="s">
        <v>35</v>
      </c>
      <c r="C284" s="44" t="s">
        <v>394</v>
      </c>
      <c r="D284" s="45" t="s">
        <v>36</v>
      </c>
      <c r="E284" s="105"/>
      <c r="F284" s="46">
        <v>50</v>
      </c>
      <c r="G284" s="46"/>
      <c r="H284" s="46">
        <v>50</v>
      </c>
      <c r="I284" s="47">
        <v>0</v>
      </c>
      <c r="J284" s="88"/>
      <c r="K284" s="47">
        <v>0</v>
      </c>
      <c r="L284" s="46">
        <v>50</v>
      </c>
      <c r="M284" s="46"/>
      <c r="N284" s="46">
        <v>50</v>
      </c>
      <c r="O284" s="94"/>
      <c r="P284" s="94"/>
    </row>
    <row r="285" spans="1:16" ht="49.15" customHeight="1" x14ac:dyDescent="0.2">
      <c r="A285" s="19" t="s">
        <v>395</v>
      </c>
      <c r="B285" s="20" t="s">
        <v>396</v>
      </c>
      <c r="C285" s="21" t="s">
        <v>397</v>
      </c>
      <c r="D285" s="22" t="s">
        <v>26</v>
      </c>
      <c r="E285" s="104"/>
      <c r="F285" s="23">
        <f t="shared" ref="F285:H287" si="78">F286</f>
        <v>200</v>
      </c>
      <c r="G285" s="23">
        <f t="shared" si="78"/>
        <v>0</v>
      </c>
      <c r="H285" s="23">
        <f t="shared" si="78"/>
        <v>200</v>
      </c>
      <c r="I285" s="24">
        <f t="shared" ref="I285:K287" si="79">I286</f>
        <v>0</v>
      </c>
      <c r="J285" s="23">
        <f>J286</f>
        <v>0</v>
      </c>
      <c r="K285" s="24">
        <f t="shared" si="79"/>
        <v>0</v>
      </c>
      <c r="L285" s="23">
        <f t="shared" ref="L285:N287" si="80">L286</f>
        <v>200</v>
      </c>
      <c r="M285" s="23">
        <f t="shared" si="80"/>
        <v>0</v>
      </c>
      <c r="N285" s="23">
        <f t="shared" si="80"/>
        <v>200</v>
      </c>
      <c r="O285" s="93"/>
      <c r="P285" s="93"/>
    </row>
    <row r="286" spans="1:16" ht="30.6" customHeight="1" x14ac:dyDescent="0.2">
      <c r="A286" s="42"/>
      <c r="B286" s="43" t="s">
        <v>398</v>
      </c>
      <c r="C286" s="44" t="s">
        <v>399</v>
      </c>
      <c r="D286" s="45" t="s">
        <v>26</v>
      </c>
      <c r="E286" s="105"/>
      <c r="F286" s="46">
        <f t="shared" si="78"/>
        <v>200</v>
      </c>
      <c r="G286" s="46">
        <f t="shared" si="78"/>
        <v>0</v>
      </c>
      <c r="H286" s="46">
        <f t="shared" si="78"/>
        <v>200</v>
      </c>
      <c r="I286" s="47">
        <f t="shared" si="79"/>
        <v>0</v>
      </c>
      <c r="J286" s="88"/>
      <c r="K286" s="47">
        <f t="shared" si="79"/>
        <v>0</v>
      </c>
      <c r="L286" s="46">
        <f t="shared" si="80"/>
        <v>200</v>
      </c>
      <c r="M286" s="46">
        <f t="shared" si="80"/>
        <v>0</v>
      </c>
      <c r="N286" s="46">
        <f t="shared" si="80"/>
        <v>200</v>
      </c>
      <c r="O286" s="94"/>
      <c r="P286" s="94"/>
    </row>
    <row r="287" spans="1:16" ht="49.15" customHeight="1" x14ac:dyDescent="0.2">
      <c r="A287" s="42"/>
      <c r="B287" s="43" t="s">
        <v>400</v>
      </c>
      <c r="C287" s="44" t="s">
        <v>401</v>
      </c>
      <c r="D287" s="45" t="s">
        <v>26</v>
      </c>
      <c r="E287" s="105"/>
      <c r="F287" s="46">
        <f t="shared" si="78"/>
        <v>200</v>
      </c>
      <c r="G287" s="46">
        <f t="shared" si="78"/>
        <v>0</v>
      </c>
      <c r="H287" s="46">
        <f t="shared" si="78"/>
        <v>200</v>
      </c>
      <c r="I287" s="47">
        <f t="shared" si="79"/>
        <v>0</v>
      </c>
      <c r="J287" s="88"/>
      <c r="K287" s="47">
        <f t="shared" si="79"/>
        <v>0</v>
      </c>
      <c r="L287" s="46">
        <f t="shared" si="80"/>
        <v>200</v>
      </c>
      <c r="M287" s="46">
        <f t="shared" si="80"/>
        <v>0</v>
      </c>
      <c r="N287" s="46">
        <f t="shared" si="80"/>
        <v>200</v>
      </c>
      <c r="O287" s="94"/>
      <c r="P287" s="94"/>
    </row>
    <row r="288" spans="1:16" ht="32.25" thickBot="1" x14ac:dyDescent="0.25">
      <c r="A288" s="57"/>
      <c r="B288" s="58" t="s">
        <v>35</v>
      </c>
      <c r="C288" s="59" t="s">
        <v>401</v>
      </c>
      <c r="D288" s="60" t="s">
        <v>36</v>
      </c>
      <c r="E288" s="108"/>
      <c r="F288" s="61">
        <v>200</v>
      </c>
      <c r="G288" s="61"/>
      <c r="H288" s="61">
        <v>200</v>
      </c>
      <c r="I288" s="62">
        <v>0</v>
      </c>
      <c r="J288" s="115"/>
      <c r="K288" s="62">
        <v>0</v>
      </c>
      <c r="L288" s="61">
        <v>200</v>
      </c>
      <c r="M288" s="61"/>
      <c r="N288" s="61">
        <v>200</v>
      </c>
      <c r="O288" s="94"/>
      <c r="P288" s="94"/>
    </row>
    <row r="289" spans="1:16" ht="16.5" thickBot="1" x14ac:dyDescent="0.25">
      <c r="A289" s="26" t="s">
        <v>404</v>
      </c>
      <c r="B289" s="461" t="s">
        <v>405</v>
      </c>
      <c r="C289" s="463"/>
      <c r="D289" s="463"/>
      <c r="E289" s="83"/>
      <c r="F289" s="27">
        <f t="shared" ref="F289:N289" si="81">F290+F294+F300+F315</f>
        <v>35031.4</v>
      </c>
      <c r="G289" s="27">
        <f t="shared" si="81"/>
        <v>0</v>
      </c>
      <c r="H289" s="27">
        <f t="shared" si="81"/>
        <v>35031.4</v>
      </c>
      <c r="I289" s="28">
        <f t="shared" si="81"/>
        <v>768.1</v>
      </c>
      <c r="J289" s="27">
        <f t="shared" si="81"/>
        <v>0</v>
      </c>
      <c r="K289" s="28">
        <f t="shared" si="81"/>
        <v>768.1</v>
      </c>
      <c r="L289" s="27">
        <f t="shared" si="81"/>
        <v>35799.5</v>
      </c>
      <c r="M289" s="27">
        <f t="shared" si="81"/>
        <v>0</v>
      </c>
      <c r="N289" s="27">
        <f t="shared" si="81"/>
        <v>35799.5</v>
      </c>
      <c r="O289" s="93"/>
      <c r="P289" s="93"/>
    </row>
    <row r="290" spans="1:16" ht="31.5" x14ac:dyDescent="0.2">
      <c r="A290" s="16" t="s">
        <v>406</v>
      </c>
      <c r="B290" s="29" t="s">
        <v>407</v>
      </c>
      <c r="C290" s="30" t="s">
        <v>408</v>
      </c>
      <c r="D290" s="31" t="s">
        <v>26</v>
      </c>
      <c r="E290" s="109"/>
      <c r="F290" s="32">
        <f t="shared" ref="F290:H292" si="82">F291</f>
        <v>2021.3</v>
      </c>
      <c r="G290" s="32">
        <f t="shared" si="82"/>
        <v>0</v>
      </c>
      <c r="H290" s="32">
        <f t="shared" si="82"/>
        <v>2021.3</v>
      </c>
      <c r="I290" s="33">
        <f t="shared" ref="I290:K292" si="83">I291</f>
        <v>0</v>
      </c>
      <c r="J290" s="32">
        <f>J291</f>
        <v>0</v>
      </c>
      <c r="K290" s="33">
        <f t="shared" si="83"/>
        <v>0</v>
      </c>
      <c r="L290" s="32">
        <f t="shared" ref="L290:N292" si="84">L291</f>
        <v>2021.3</v>
      </c>
      <c r="M290" s="32">
        <f t="shared" si="84"/>
        <v>0</v>
      </c>
      <c r="N290" s="32">
        <f t="shared" si="84"/>
        <v>2021.3</v>
      </c>
      <c r="O290" s="98"/>
      <c r="P290" s="98"/>
    </row>
    <row r="291" spans="1:16" ht="22.15" customHeight="1" x14ac:dyDescent="0.2">
      <c r="A291" s="49"/>
      <c r="B291" s="50" t="s">
        <v>409</v>
      </c>
      <c r="C291" s="51" t="s">
        <v>410</v>
      </c>
      <c r="D291" s="52" t="s">
        <v>26</v>
      </c>
      <c r="E291" s="106"/>
      <c r="F291" s="63">
        <f t="shared" si="82"/>
        <v>2021.3</v>
      </c>
      <c r="G291" s="63">
        <f t="shared" si="82"/>
        <v>0</v>
      </c>
      <c r="H291" s="63">
        <f t="shared" si="82"/>
        <v>2021.3</v>
      </c>
      <c r="I291" s="64">
        <f t="shared" si="83"/>
        <v>0</v>
      </c>
      <c r="J291" s="63">
        <f>J292</f>
        <v>0</v>
      </c>
      <c r="K291" s="64">
        <f t="shared" si="83"/>
        <v>0</v>
      </c>
      <c r="L291" s="63">
        <f t="shared" si="84"/>
        <v>2021.3</v>
      </c>
      <c r="M291" s="63">
        <f t="shared" si="84"/>
        <v>0</v>
      </c>
      <c r="N291" s="63">
        <f t="shared" si="84"/>
        <v>2021.3</v>
      </c>
      <c r="O291" s="99"/>
      <c r="P291" s="99"/>
    </row>
    <row r="292" spans="1:16" ht="31.5" x14ac:dyDescent="0.2">
      <c r="A292" s="42"/>
      <c r="B292" s="43" t="s">
        <v>93</v>
      </c>
      <c r="C292" s="44" t="s">
        <v>411</v>
      </c>
      <c r="D292" s="45" t="s">
        <v>26</v>
      </c>
      <c r="E292" s="105"/>
      <c r="F292" s="65">
        <f t="shared" si="82"/>
        <v>2021.3</v>
      </c>
      <c r="G292" s="65">
        <f t="shared" si="82"/>
        <v>0</v>
      </c>
      <c r="H292" s="65">
        <f t="shared" si="82"/>
        <v>2021.3</v>
      </c>
      <c r="I292" s="66">
        <f t="shared" si="83"/>
        <v>0</v>
      </c>
      <c r="J292" s="89"/>
      <c r="K292" s="66">
        <f t="shared" si="83"/>
        <v>0</v>
      </c>
      <c r="L292" s="65">
        <f t="shared" si="84"/>
        <v>2021.3</v>
      </c>
      <c r="M292" s="65">
        <f t="shared" si="84"/>
        <v>0</v>
      </c>
      <c r="N292" s="65">
        <f t="shared" si="84"/>
        <v>2021.3</v>
      </c>
      <c r="O292" s="100"/>
      <c r="P292" s="100"/>
    </row>
    <row r="293" spans="1:16" ht="69" customHeight="1" x14ac:dyDescent="0.2">
      <c r="A293" s="42"/>
      <c r="B293" s="43" t="s">
        <v>31</v>
      </c>
      <c r="C293" s="44" t="s">
        <v>411</v>
      </c>
      <c r="D293" s="45" t="s">
        <v>32</v>
      </c>
      <c r="E293" s="105"/>
      <c r="F293" s="65">
        <v>2021.3</v>
      </c>
      <c r="G293" s="65"/>
      <c r="H293" s="65">
        <v>2021.3</v>
      </c>
      <c r="I293" s="66">
        <v>0</v>
      </c>
      <c r="J293" s="89"/>
      <c r="K293" s="66">
        <v>0</v>
      </c>
      <c r="L293" s="65">
        <v>2021.3</v>
      </c>
      <c r="M293" s="65"/>
      <c r="N293" s="65">
        <v>2021.3</v>
      </c>
      <c r="O293" s="100"/>
      <c r="P293" s="100"/>
    </row>
    <row r="294" spans="1:16" ht="31.5" x14ac:dyDescent="0.2">
      <c r="A294" s="19" t="s">
        <v>412</v>
      </c>
      <c r="B294" s="20" t="s">
        <v>413</v>
      </c>
      <c r="C294" s="21" t="s">
        <v>414</v>
      </c>
      <c r="D294" s="22" t="s">
        <v>26</v>
      </c>
      <c r="E294" s="104"/>
      <c r="F294" s="34">
        <f t="shared" ref="F294:N294" si="85">F295</f>
        <v>1395.6</v>
      </c>
      <c r="G294" s="34">
        <f t="shared" si="85"/>
        <v>0</v>
      </c>
      <c r="H294" s="34">
        <f t="shared" si="85"/>
        <v>1395.6</v>
      </c>
      <c r="I294" s="35">
        <f t="shared" si="85"/>
        <v>0</v>
      </c>
      <c r="J294" s="34">
        <f t="shared" si="85"/>
        <v>0</v>
      </c>
      <c r="K294" s="35">
        <f t="shared" si="85"/>
        <v>0</v>
      </c>
      <c r="L294" s="34">
        <f t="shared" si="85"/>
        <v>1395.6</v>
      </c>
      <c r="M294" s="34">
        <f t="shared" si="85"/>
        <v>0</v>
      </c>
      <c r="N294" s="34">
        <f t="shared" si="85"/>
        <v>1395.6</v>
      </c>
      <c r="O294" s="98"/>
      <c r="P294" s="98"/>
    </row>
    <row r="295" spans="1:16" ht="31.5" x14ac:dyDescent="0.2">
      <c r="A295" s="49"/>
      <c r="B295" s="50" t="s">
        <v>415</v>
      </c>
      <c r="C295" s="51" t="s">
        <v>416</v>
      </c>
      <c r="D295" s="52" t="s">
        <v>26</v>
      </c>
      <c r="E295" s="106"/>
      <c r="F295" s="63">
        <f t="shared" ref="F295:N295" si="86">F296+F298</f>
        <v>1395.6</v>
      </c>
      <c r="G295" s="63">
        <f t="shared" si="86"/>
        <v>0</v>
      </c>
      <c r="H295" s="63">
        <f t="shared" si="86"/>
        <v>1395.6</v>
      </c>
      <c r="I295" s="64">
        <f t="shared" si="86"/>
        <v>0</v>
      </c>
      <c r="J295" s="63">
        <f t="shared" si="86"/>
        <v>0</v>
      </c>
      <c r="K295" s="64">
        <f t="shared" si="86"/>
        <v>0</v>
      </c>
      <c r="L295" s="63">
        <f t="shared" si="86"/>
        <v>1395.6</v>
      </c>
      <c r="M295" s="63">
        <f t="shared" si="86"/>
        <v>0</v>
      </c>
      <c r="N295" s="63">
        <f t="shared" si="86"/>
        <v>1395.6</v>
      </c>
      <c r="O295" s="99"/>
      <c r="P295" s="99"/>
    </row>
    <row r="296" spans="1:16" ht="31.5" x14ac:dyDescent="0.2">
      <c r="A296" s="42"/>
      <c r="B296" s="43" t="s">
        <v>93</v>
      </c>
      <c r="C296" s="44" t="s">
        <v>417</v>
      </c>
      <c r="D296" s="45" t="s">
        <v>26</v>
      </c>
      <c r="E296" s="105"/>
      <c r="F296" s="65">
        <f>F297</f>
        <v>8.1</v>
      </c>
      <c r="G296" s="65">
        <f>G297</f>
        <v>0</v>
      </c>
      <c r="H296" s="65">
        <f>H297</f>
        <v>8.1</v>
      </c>
      <c r="I296" s="66">
        <f>I297</f>
        <v>0</v>
      </c>
      <c r="J296" s="89"/>
      <c r="K296" s="66">
        <f>K297</f>
        <v>0</v>
      </c>
      <c r="L296" s="65">
        <f>L297</f>
        <v>8.1</v>
      </c>
      <c r="M296" s="65">
        <f>M297</f>
        <v>0</v>
      </c>
      <c r="N296" s="65">
        <f>N297</f>
        <v>8.1</v>
      </c>
      <c r="O296" s="100"/>
      <c r="P296" s="100"/>
    </row>
    <row r="297" spans="1:16" ht="31.5" x14ac:dyDescent="0.2">
      <c r="A297" s="42"/>
      <c r="B297" s="43" t="s">
        <v>35</v>
      </c>
      <c r="C297" s="44" t="s">
        <v>417</v>
      </c>
      <c r="D297" s="45" t="s">
        <v>36</v>
      </c>
      <c r="E297" s="105"/>
      <c r="F297" s="79">
        <f>8+0.1</f>
        <v>8.1</v>
      </c>
      <c r="G297" s="79"/>
      <c r="H297" s="79">
        <f>8+0.1</f>
        <v>8.1</v>
      </c>
      <c r="I297" s="66">
        <v>0</v>
      </c>
      <c r="J297" s="117"/>
      <c r="K297" s="66">
        <v>0</v>
      </c>
      <c r="L297" s="79">
        <f>8+0.1</f>
        <v>8.1</v>
      </c>
      <c r="M297" s="79"/>
      <c r="N297" s="79">
        <f>8+0.1</f>
        <v>8.1</v>
      </c>
      <c r="O297" s="100"/>
      <c r="P297" s="100"/>
    </row>
    <row r="298" spans="1:16" ht="50.45" customHeight="1" x14ac:dyDescent="0.2">
      <c r="A298" s="42"/>
      <c r="B298" s="43" t="s">
        <v>418</v>
      </c>
      <c r="C298" s="44" t="s">
        <v>419</v>
      </c>
      <c r="D298" s="45" t="s">
        <v>26</v>
      </c>
      <c r="E298" s="105"/>
      <c r="F298" s="65">
        <f>F299</f>
        <v>1387.5</v>
      </c>
      <c r="G298" s="65">
        <f>G299</f>
        <v>0</v>
      </c>
      <c r="H298" s="65">
        <f>H299</f>
        <v>1387.5</v>
      </c>
      <c r="I298" s="66">
        <f>I299</f>
        <v>0</v>
      </c>
      <c r="J298" s="89"/>
      <c r="K298" s="66">
        <f>K299</f>
        <v>0</v>
      </c>
      <c r="L298" s="65">
        <f>L299</f>
        <v>1387.5</v>
      </c>
      <c r="M298" s="65">
        <f>M299</f>
        <v>0</v>
      </c>
      <c r="N298" s="65">
        <f>N299</f>
        <v>1387.5</v>
      </c>
      <c r="O298" s="100"/>
      <c r="P298" s="100"/>
    </row>
    <row r="299" spans="1:16" ht="15.75" x14ac:dyDescent="0.2">
      <c r="A299" s="42"/>
      <c r="B299" s="43" t="s">
        <v>278</v>
      </c>
      <c r="C299" s="44" t="s">
        <v>419</v>
      </c>
      <c r="D299" s="45" t="s">
        <v>279</v>
      </c>
      <c r="E299" s="105"/>
      <c r="F299" s="79">
        <f>1387.6-0.1</f>
        <v>1387.5</v>
      </c>
      <c r="G299" s="79"/>
      <c r="H299" s="79">
        <f>1387.6-0.1</f>
        <v>1387.5</v>
      </c>
      <c r="I299" s="66">
        <v>0</v>
      </c>
      <c r="J299" s="117"/>
      <c r="K299" s="66">
        <v>0</v>
      </c>
      <c r="L299" s="79">
        <f>1387.6-0.1</f>
        <v>1387.5</v>
      </c>
      <c r="M299" s="79"/>
      <c r="N299" s="79">
        <f>1387.6-0.1</f>
        <v>1387.5</v>
      </c>
      <c r="O299" s="100"/>
      <c r="P299" s="100"/>
    </row>
    <row r="300" spans="1:16" ht="31.5" x14ac:dyDescent="0.2">
      <c r="A300" s="19" t="s">
        <v>420</v>
      </c>
      <c r="B300" s="20" t="s">
        <v>421</v>
      </c>
      <c r="C300" s="21" t="s">
        <v>422</v>
      </c>
      <c r="D300" s="22" t="s">
        <v>26</v>
      </c>
      <c r="E300" s="104"/>
      <c r="F300" s="34">
        <f t="shared" ref="F300:N300" si="87">F301+F306+F312</f>
        <v>31614.5</v>
      </c>
      <c r="G300" s="34">
        <f t="shared" si="87"/>
        <v>0</v>
      </c>
      <c r="H300" s="34">
        <f t="shared" si="87"/>
        <v>31614.5</v>
      </c>
      <c r="I300" s="35">
        <f t="shared" si="87"/>
        <v>768.1</v>
      </c>
      <c r="J300" s="34">
        <f t="shared" si="87"/>
        <v>0</v>
      </c>
      <c r="K300" s="35">
        <f t="shared" si="87"/>
        <v>768.1</v>
      </c>
      <c r="L300" s="34">
        <f t="shared" si="87"/>
        <v>32382.6</v>
      </c>
      <c r="M300" s="34">
        <f t="shared" si="87"/>
        <v>0</v>
      </c>
      <c r="N300" s="34">
        <f t="shared" si="87"/>
        <v>32382.6</v>
      </c>
      <c r="O300" s="98"/>
      <c r="P300" s="98"/>
    </row>
    <row r="301" spans="1:16" ht="31.5" x14ac:dyDescent="0.2">
      <c r="A301" s="49"/>
      <c r="B301" s="50" t="s">
        <v>423</v>
      </c>
      <c r="C301" s="51" t="s">
        <v>424</v>
      </c>
      <c r="D301" s="52" t="s">
        <v>26</v>
      </c>
      <c r="E301" s="106"/>
      <c r="F301" s="63">
        <f t="shared" ref="F301:N301" si="88">F302</f>
        <v>30614.5</v>
      </c>
      <c r="G301" s="63">
        <f t="shared" si="88"/>
        <v>0</v>
      </c>
      <c r="H301" s="63">
        <f t="shared" si="88"/>
        <v>30614.5</v>
      </c>
      <c r="I301" s="64">
        <f t="shared" si="88"/>
        <v>0</v>
      </c>
      <c r="J301" s="63">
        <f t="shared" si="88"/>
        <v>0</v>
      </c>
      <c r="K301" s="64">
        <f t="shared" si="88"/>
        <v>0</v>
      </c>
      <c r="L301" s="63">
        <f t="shared" si="88"/>
        <v>30614.5</v>
      </c>
      <c r="M301" s="63">
        <f t="shared" si="88"/>
        <v>0</v>
      </c>
      <c r="N301" s="63">
        <f t="shared" si="88"/>
        <v>30614.5</v>
      </c>
      <c r="O301" s="99"/>
      <c r="P301" s="99"/>
    </row>
    <row r="302" spans="1:16" ht="31.5" x14ac:dyDescent="0.2">
      <c r="A302" s="42"/>
      <c r="B302" s="43" t="s">
        <v>93</v>
      </c>
      <c r="C302" s="44" t="s">
        <v>425</v>
      </c>
      <c r="D302" s="45" t="s">
        <v>26</v>
      </c>
      <c r="E302" s="105"/>
      <c r="F302" s="65">
        <f>F303+F304+F305</f>
        <v>30614.5</v>
      </c>
      <c r="G302" s="65">
        <f>G303+G304+G305</f>
        <v>0</v>
      </c>
      <c r="H302" s="65">
        <f>H303+H304+H305</f>
        <v>30614.5</v>
      </c>
      <c r="I302" s="66">
        <f>I303+I304+I305</f>
        <v>0</v>
      </c>
      <c r="J302" s="89"/>
      <c r="K302" s="66">
        <f>K303+K304+K305</f>
        <v>0</v>
      </c>
      <c r="L302" s="65">
        <f>L303+L304+L305</f>
        <v>30614.5</v>
      </c>
      <c r="M302" s="65">
        <f>M303+M304+M305</f>
        <v>0</v>
      </c>
      <c r="N302" s="65">
        <f>N303+N304+N305</f>
        <v>30614.5</v>
      </c>
      <c r="O302" s="100"/>
      <c r="P302" s="100"/>
    </row>
    <row r="303" spans="1:16" ht="70.150000000000006" customHeight="1" x14ac:dyDescent="0.2">
      <c r="A303" s="42"/>
      <c r="B303" s="43" t="s">
        <v>31</v>
      </c>
      <c r="C303" s="44" t="s">
        <v>425</v>
      </c>
      <c r="D303" s="45" t="s">
        <v>32</v>
      </c>
      <c r="E303" s="105"/>
      <c r="F303" s="65">
        <v>30283.1</v>
      </c>
      <c r="G303" s="65"/>
      <c r="H303" s="65">
        <v>30283.1</v>
      </c>
      <c r="I303" s="66">
        <v>0</v>
      </c>
      <c r="J303" s="89"/>
      <c r="K303" s="66">
        <v>0</v>
      </c>
      <c r="L303" s="65">
        <v>30283.1</v>
      </c>
      <c r="M303" s="65"/>
      <c r="N303" s="65">
        <v>30283.1</v>
      </c>
      <c r="O303" s="100"/>
      <c r="P303" s="100"/>
    </row>
    <row r="304" spans="1:16" ht="31.5" x14ac:dyDescent="0.2">
      <c r="A304" s="42"/>
      <c r="B304" s="43" t="s">
        <v>35</v>
      </c>
      <c r="C304" s="44" t="s">
        <v>425</v>
      </c>
      <c r="D304" s="45" t="s">
        <v>36</v>
      </c>
      <c r="E304" s="105"/>
      <c r="F304" s="65">
        <v>291.39999999999998</v>
      </c>
      <c r="G304" s="65"/>
      <c r="H304" s="65">
        <v>291.39999999999998</v>
      </c>
      <c r="I304" s="66">
        <v>0</v>
      </c>
      <c r="J304" s="89"/>
      <c r="K304" s="66">
        <v>0</v>
      </c>
      <c r="L304" s="65">
        <v>291.39999999999998</v>
      </c>
      <c r="M304" s="65"/>
      <c r="N304" s="65">
        <v>291.39999999999998</v>
      </c>
      <c r="O304" s="100"/>
      <c r="P304" s="100"/>
    </row>
    <row r="305" spans="1:16" ht="15.75" x14ac:dyDescent="0.2">
      <c r="A305" s="42"/>
      <c r="B305" s="43" t="s">
        <v>41</v>
      </c>
      <c r="C305" s="44" t="s">
        <v>425</v>
      </c>
      <c r="D305" s="45" t="s">
        <v>42</v>
      </c>
      <c r="E305" s="105"/>
      <c r="F305" s="65">
        <v>40</v>
      </c>
      <c r="G305" s="65"/>
      <c r="H305" s="65">
        <v>40</v>
      </c>
      <c r="I305" s="66">
        <v>0</v>
      </c>
      <c r="J305" s="89"/>
      <c r="K305" s="66">
        <v>0</v>
      </c>
      <c r="L305" s="65">
        <v>40</v>
      </c>
      <c r="M305" s="65"/>
      <c r="N305" s="65">
        <v>40</v>
      </c>
      <c r="O305" s="100"/>
      <c r="P305" s="100"/>
    </row>
    <row r="306" spans="1:16" ht="21.6" customHeight="1" x14ac:dyDescent="0.2">
      <c r="A306" s="49"/>
      <c r="B306" s="43" t="s">
        <v>426</v>
      </c>
      <c r="C306" s="44" t="s">
        <v>427</v>
      </c>
      <c r="D306" s="45" t="s">
        <v>26</v>
      </c>
      <c r="E306" s="105"/>
      <c r="F306" s="65">
        <f>F310</f>
        <v>0</v>
      </c>
      <c r="G306" s="65">
        <f>G310</f>
        <v>0</v>
      </c>
      <c r="H306" s="65">
        <f>H310</f>
        <v>0</v>
      </c>
      <c r="I306" s="66">
        <f>I310+I307</f>
        <v>768.1</v>
      </c>
      <c r="J306" s="89"/>
      <c r="K306" s="66">
        <f>K310+K307</f>
        <v>768.1</v>
      </c>
      <c r="L306" s="66">
        <f>L310+L307</f>
        <v>768.1</v>
      </c>
      <c r="M306" s="65">
        <f>M310</f>
        <v>0</v>
      </c>
      <c r="N306" s="66">
        <f>N310+N307</f>
        <v>768.1</v>
      </c>
      <c r="O306" s="100"/>
      <c r="P306" s="100"/>
    </row>
    <row r="307" spans="1:16" ht="125.45" customHeight="1" x14ac:dyDescent="0.2">
      <c r="A307" s="49"/>
      <c r="B307" s="43" t="s">
        <v>428</v>
      </c>
      <c r="C307" s="44" t="s">
        <v>429</v>
      </c>
      <c r="D307" s="45"/>
      <c r="E307" s="105"/>
      <c r="F307" s="65"/>
      <c r="G307" s="65"/>
      <c r="H307" s="65"/>
      <c r="I307" s="66">
        <f>SUM(I308+I309)</f>
        <v>755.7</v>
      </c>
      <c r="J307" s="89"/>
      <c r="K307" s="66">
        <f>SUM(K308+K309)</f>
        <v>755.7</v>
      </c>
      <c r="L307" s="66">
        <f>SUM(L308+L309)</f>
        <v>755.7</v>
      </c>
      <c r="M307" s="65"/>
      <c r="N307" s="66">
        <f>SUM(N308+N309)</f>
        <v>755.7</v>
      </c>
      <c r="O307" s="100"/>
      <c r="P307" s="100"/>
    </row>
    <row r="308" spans="1:16" ht="66" customHeight="1" x14ac:dyDescent="0.2">
      <c r="A308" s="49"/>
      <c r="B308" s="43" t="s">
        <v>31</v>
      </c>
      <c r="C308" s="44" t="s">
        <v>429</v>
      </c>
      <c r="D308" s="45" t="s">
        <v>32</v>
      </c>
      <c r="E308" s="105"/>
      <c r="F308" s="65"/>
      <c r="G308" s="65"/>
      <c r="H308" s="65"/>
      <c r="I308" s="66">
        <v>674.7</v>
      </c>
      <c r="J308" s="89"/>
      <c r="K308" s="66">
        <v>674.7</v>
      </c>
      <c r="L308" s="66">
        <v>674.7</v>
      </c>
      <c r="M308" s="65"/>
      <c r="N308" s="66">
        <v>674.7</v>
      </c>
      <c r="O308" s="100"/>
      <c r="P308" s="100"/>
    </row>
    <row r="309" spans="1:16" ht="23.45" customHeight="1" x14ac:dyDescent="0.2">
      <c r="A309" s="49"/>
      <c r="B309" s="43" t="s">
        <v>35</v>
      </c>
      <c r="C309" s="44" t="s">
        <v>429</v>
      </c>
      <c r="D309" s="45" t="s">
        <v>36</v>
      </c>
      <c r="E309" s="105"/>
      <c r="F309" s="65"/>
      <c r="G309" s="65"/>
      <c r="H309" s="65"/>
      <c r="I309" s="66">
        <v>81</v>
      </c>
      <c r="J309" s="89"/>
      <c r="K309" s="66">
        <v>81</v>
      </c>
      <c r="L309" s="66">
        <v>81</v>
      </c>
      <c r="M309" s="65"/>
      <c r="N309" s="66">
        <v>81</v>
      </c>
      <c r="O309" s="100"/>
      <c r="P309" s="100"/>
    </row>
    <row r="310" spans="1:16" ht="47.25" x14ac:dyDescent="0.2">
      <c r="A310" s="42"/>
      <c r="B310" s="43" t="s">
        <v>430</v>
      </c>
      <c r="C310" s="44" t="s">
        <v>431</v>
      </c>
      <c r="D310" s="45" t="s">
        <v>26</v>
      </c>
      <c r="E310" s="105"/>
      <c r="F310" s="65">
        <f t="shared" ref="F310:N310" si="89">F311</f>
        <v>0</v>
      </c>
      <c r="G310" s="65">
        <f t="shared" si="89"/>
        <v>0</v>
      </c>
      <c r="H310" s="65">
        <f t="shared" si="89"/>
        <v>0</v>
      </c>
      <c r="I310" s="66">
        <f t="shared" si="89"/>
        <v>12.4</v>
      </c>
      <c r="J310" s="89"/>
      <c r="K310" s="66">
        <f t="shared" si="89"/>
        <v>12.4</v>
      </c>
      <c r="L310" s="65">
        <f t="shared" si="89"/>
        <v>12.4</v>
      </c>
      <c r="M310" s="65">
        <f t="shared" si="89"/>
        <v>0</v>
      </c>
      <c r="N310" s="65">
        <f t="shared" si="89"/>
        <v>12.4</v>
      </c>
      <c r="O310" s="100"/>
      <c r="P310" s="100"/>
    </row>
    <row r="311" spans="1:16" ht="31.5" x14ac:dyDescent="0.2">
      <c r="A311" s="42"/>
      <c r="B311" s="43" t="s">
        <v>35</v>
      </c>
      <c r="C311" s="44" t="s">
        <v>431</v>
      </c>
      <c r="D311" s="45" t="s">
        <v>36</v>
      </c>
      <c r="E311" s="105"/>
      <c r="F311" s="65">
        <v>0</v>
      </c>
      <c r="G311" s="65">
        <v>0</v>
      </c>
      <c r="H311" s="65">
        <v>0</v>
      </c>
      <c r="I311" s="66">
        <v>12.4</v>
      </c>
      <c r="J311" s="89"/>
      <c r="K311" s="66">
        <v>12.4</v>
      </c>
      <c r="L311" s="65">
        <v>12.4</v>
      </c>
      <c r="M311" s="65">
        <v>0</v>
      </c>
      <c r="N311" s="65">
        <v>12.4</v>
      </c>
      <c r="O311" s="100"/>
      <c r="P311" s="100"/>
    </row>
    <row r="312" spans="1:16" ht="15.75" x14ac:dyDescent="0.2">
      <c r="A312" s="49"/>
      <c r="B312" s="50" t="s">
        <v>432</v>
      </c>
      <c r="C312" s="51" t="s">
        <v>433</v>
      </c>
      <c r="D312" s="52" t="s">
        <v>26</v>
      </c>
      <c r="E312" s="106"/>
      <c r="F312" s="63">
        <f t="shared" ref="F312:N313" si="90">F313</f>
        <v>1000</v>
      </c>
      <c r="G312" s="63">
        <f t="shared" si="90"/>
        <v>0</v>
      </c>
      <c r="H312" s="63">
        <f t="shared" si="90"/>
        <v>1000</v>
      </c>
      <c r="I312" s="64">
        <f t="shared" si="90"/>
        <v>0</v>
      </c>
      <c r="J312" s="63">
        <f t="shared" si="90"/>
        <v>0</v>
      </c>
      <c r="K312" s="64">
        <f t="shared" si="90"/>
        <v>0</v>
      </c>
      <c r="L312" s="63">
        <f t="shared" si="90"/>
        <v>1000</v>
      </c>
      <c r="M312" s="63">
        <f t="shared" si="90"/>
        <v>0</v>
      </c>
      <c r="N312" s="63">
        <f t="shared" si="90"/>
        <v>1000</v>
      </c>
      <c r="O312" s="99"/>
      <c r="P312" s="99"/>
    </row>
    <row r="313" spans="1:16" ht="31.5" x14ac:dyDescent="0.2">
      <c r="A313" s="42"/>
      <c r="B313" s="43" t="s">
        <v>434</v>
      </c>
      <c r="C313" s="44" t="s">
        <v>435</v>
      </c>
      <c r="D313" s="45" t="s">
        <v>26</v>
      </c>
      <c r="E313" s="105"/>
      <c r="F313" s="65">
        <f t="shared" si="90"/>
        <v>1000</v>
      </c>
      <c r="G313" s="65">
        <f t="shared" si="90"/>
        <v>0</v>
      </c>
      <c r="H313" s="65">
        <f t="shared" si="90"/>
        <v>1000</v>
      </c>
      <c r="I313" s="66">
        <f t="shared" si="90"/>
        <v>0</v>
      </c>
      <c r="J313" s="89"/>
      <c r="K313" s="66">
        <f t="shared" si="90"/>
        <v>0</v>
      </c>
      <c r="L313" s="65">
        <f t="shared" si="90"/>
        <v>1000</v>
      </c>
      <c r="M313" s="65">
        <f t="shared" si="90"/>
        <v>0</v>
      </c>
      <c r="N313" s="65">
        <f t="shared" si="90"/>
        <v>1000</v>
      </c>
      <c r="O313" s="100"/>
      <c r="P313" s="100"/>
    </row>
    <row r="314" spans="1:16" ht="15.75" x14ac:dyDescent="0.2">
      <c r="A314" s="42"/>
      <c r="B314" s="43" t="s">
        <v>41</v>
      </c>
      <c r="C314" s="44" t="s">
        <v>435</v>
      </c>
      <c r="D314" s="45" t="s">
        <v>42</v>
      </c>
      <c r="E314" s="105"/>
      <c r="F314" s="65">
        <v>1000</v>
      </c>
      <c r="G314" s="65"/>
      <c r="H314" s="65">
        <v>1000</v>
      </c>
      <c r="I314" s="66">
        <v>0</v>
      </c>
      <c r="J314" s="89"/>
      <c r="K314" s="66">
        <v>0</v>
      </c>
      <c r="L314" s="65">
        <v>1000</v>
      </c>
      <c r="M314" s="65"/>
      <c r="N314" s="65">
        <v>1000</v>
      </c>
      <c r="O314" s="100"/>
      <c r="P314" s="100"/>
    </row>
    <row r="315" spans="1:16" ht="31.5" hidden="1" x14ac:dyDescent="0.2">
      <c r="A315" s="19" t="s">
        <v>436</v>
      </c>
      <c r="B315" s="20" t="s">
        <v>437</v>
      </c>
      <c r="C315" s="21" t="s">
        <v>438</v>
      </c>
      <c r="D315" s="22" t="s">
        <v>26</v>
      </c>
      <c r="E315" s="104"/>
      <c r="F315" s="34">
        <f>F316</f>
        <v>0</v>
      </c>
      <c r="G315" s="116"/>
      <c r="H315" s="116"/>
      <c r="I315" s="35">
        <f>I316</f>
        <v>0</v>
      </c>
      <c r="J315" s="36"/>
      <c r="K315" s="36"/>
      <c r="L315" s="36"/>
      <c r="M315" s="36"/>
      <c r="N315" s="36">
        <f>N316</f>
        <v>0</v>
      </c>
      <c r="O315" s="98"/>
      <c r="P315" s="98"/>
    </row>
    <row r="316" spans="1:16" ht="31.5" hidden="1" x14ac:dyDescent="0.2">
      <c r="A316" s="42"/>
      <c r="B316" s="43" t="s">
        <v>439</v>
      </c>
      <c r="C316" s="44" t="s">
        <v>440</v>
      </c>
      <c r="D316" s="45" t="s">
        <v>26</v>
      </c>
      <c r="E316" s="105"/>
      <c r="F316" s="65">
        <f>F317</f>
        <v>0</v>
      </c>
      <c r="G316" s="89"/>
      <c r="H316" s="89"/>
      <c r="I316" s="66">
        <f>I317</f>
        <v>0</v>
      </c>
      <c r="J316" s="67"/>
      <c r="K316" s="67"/>
      <c r="L316" s="67"/>
      <c r="M316" s="67"/>
      <c r="N316" s="67">
        <f>N317</f>
        <v>0</v>
      </c>
      <c r="O316" s="100"/>
      <c r="P316" s="100"/>
    </row>
    <row r="317" spans="1:16" ht="31.5" hidden="1" x14ac:dyDescent="0.2">
      <c r="A317" s="42"/>
      <c r="B317" s="43" t="s">
        <v>441</v>
      </c>
      <c r="C317" s="44" t="s">
        <v>442</v>
      </c>
      <c r="D317" s="45" t="s">
        <v>26</v>
      </c>
      <c r="E317" s="105"/>
      <c r="F317" s="65"/>
      <c r="G317" s="89"/>
      <c r="H317" s="89"/>
      <c r="I317" s="66">
        <f>I320</f>
        <v>0</v>
      </c>
      <c r="J317" s="89"/>
      <c r="K317" s="89"/>
      <c r="L317" s="89"/>
      <c r="M317" s="89"/>
      <c r="N317" s="65"/>
      <c r="O317" s="100"/>
      <c r="P317" s="100"/>
    </row>
    <row r="318" spans="1:16" ht="16.5" hidden="1" thickBot="1" x14ac:dyDescent="0.25">
      <c r="A318" s="57"/>
      <c r="B318" s="68" t="s">
        <v>41</v>
      </c>
      <c r="C318" s="69" t="s">
        <v>442</v>
      </c>
      <c r="D318" s="45" t="s">
        <v>42</v>
      </c>
      <c r="E318" s="105"/>
      <c r="F318" s="65"/>
      <c r="G318" s="89"/>
      <c r="H318" s="89"/>
      <c r="I318" s="66">
        <v>0</v>
      </c>
      <c r="J318" s="89"/>
      <c r="K318" s="89"/>
      <c r="L318" s="89"/>
      <c r="M318" s="89"/>
      <c r="N318" s="65"/>
      <c r="O318" s="100"/>
      <c r="P318" s="100"/>
    </row>
    <row r="319" spans="1:16" ht="34.15" customHeight="1" x14ac:dyDescent="0.2">
      <c r="A319" s="57"/>
      <c r="B319" s="464" t="s">
        <v>446</v>
      </c>
      <c r="C319" s="465"/>
      <c r="D319" s="465"/>
      <c r="E319" s="465"/>
      <c r="F319" s="465"/>
      <c r="G319" s="465"/>
      <c r="H319" s="465"/>
      <c r="I319" s="465"/>
      <c r="J319" s="465"/>
      <c r="K319" s="465"/>
      <c r="L319" s="465"/>
      <c r="M319" s="465"/>
      <c r="N319" s="465"/>
      <c r="O319" s="86"/>
      <c r="P319" s="86"/>
    </row>
    <row r="320" spans="1:16" ht="16.5" customHeight="1" thickBot="1" x14ac:dyDescent="0.25">
      <c r="A320" s="70"/>
      <c r="B320" s="466"/>
      <c r="C320" s="467"/>
      <c r="D320" s="467"/>
      <c r="E320" s="467"/>
      <c r="F320" s="467"/>
      <c r="G320" s="467"/>
      <c r="H320" s="467"/>
      <c r="I320" s="467"/>
      <c r="J320" s="467"/>
      <c r="K320" s="467"/>
      <c r="L320" s="467"/>
      <c r="M320" s="467"/>
      <c r="N320" s="467"/>
      <c r="O320" s="86"/>
      <c r="P320" s="86"/>
    </row>
  </sheetData>
  <mergeCells count="18">
    <mergeCell ref="B13:B14"/>
    <mergeCell ref="C13:D13"/>
    <mergeCell ref="B319:N320"/>
    <mergeCell ref="F13:N13"/>
    <mergeCell ref="I1:N1"/>
    <mergeCell ref="I2:N2"/>
    <mergeCell ref="I3:N3"/>
    <mergeCell ref="I4:N4"/>
    <mergeCell ref="I5:N5"/>
    <mergeCell ref="I6:N6"/>
    <mergeCell ref="C15:D15"/>
    <mergeCell ref="F15:N15"/>
    <mergeCell ref="B17:D17"/>
    <mergeCell ref="B289:D289"/>
    <mergeCell ref="A8:N8"/>
    <mergeCell ref="A9:N9"/>
    <mergeCell ref="A10:N10"/>
    <mergeCell ref="A13:A14"/>
  </mergeCells>
  <pageMargins left="0.59055118110236227" right="0.31496062992125984" top="0.31496062992125984" bottom="0.39370078740157483" header="0.51181102362204722" footer="0.19685039370078741"/>
  <pageSetup paperSize="9" scale="65" firstPageNumber="4294967295" orientation="portrait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518"/>
  <sheetViews>
    <sheetView topLeftCell="A37" zoomScale="60" zoomScaleNormal="60" zoomScaleSheetLayoutView="70" workbookViewId="0">
      <selection activeCell="T57" sqref="T57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6" width="16.28515625" customWidth="1"/>
    <col min="7" max="7" width="15.7109375" customWidth="1"/>
    <col min="8" max="8" width="18.28515625" customWidth="1"/>
    <col min="9" max="9" width="18" customWidth="1"/>
    <col min="10" max="10" width="16.7109375" customWidth="1"/>
    <col min="11" max="12" width="18" customWidth="1"/>
    <col min="13" max="13" width="19" customWidth="1"/>
    <col min="14" max="14" width="22.28515625" customWidth="1"/>
    <col min="15" max="15" width="16.42578125" customWidth="1"/>
    <col min="16" max="16" width="12.7109375" customWidth="1"/>
    <col min="17" max="17" width="18.85546875" customWidth="1"/>
    <col min="18" max="18" width="17.4257812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291"/>
      <c r="P1" s="291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291"/>
      <c r="P2" s="291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291"/>
      <c r="P3" s="291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291"/>
      <c r="P4" s="291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499</v>
      </c>
      <c r="J5" s="440"/>
      <c r="K5" s="440"/>
      <c r="L5" s="440"/>
      <c r="M5" s="440"/>
      <c r="N5" s="440"/>
      <c r="O5" s="291"/>
      <c r="P5" s="291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291"/>
      <c r="P6" s="291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292"/>
      <c r="P8" s="292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292"/>
      <c r="P9" s="292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293"/>
      <c r="P10" s="293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294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66" t="s">
        <v>15</v>
      </c>
      <c r="J14" s="167" t="s">
        <v>13</v>
      </c>
      <c r="K14" s="167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295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173" t="s">
        <v>20</v>
      </c>
      <c r="C16" s="173"/>
      <c r="D16" s="174"/>
      <c r="E16" s="175"/>
      <c r="F16" s="176">
        <f t="shared" ref="F16:N16" si="0">F17+F398</f>
        <v>751492.30000000016</v>
      </c>
      <c r="G16" s="176">
        <f>G17+G398</f>
        <v>5935.6</v>
      </c>
      <c r="H16" s="176">
        <f t="shared" si="0"/>
        <v>757427.90000000026</v>
      </c>
      <c r="I16" s="177">
        <f t="shared" si="0"/>
        <v>2017491.4</v>
      </c>
      <c r="J16" s="274">
        <f t="shared" si="0"/>
        <v>0</v>
      </c>
      <c r="K16" s="177">
        <f t="shared" si="0"/>
        <v>2017491.4</v>
      </c>
      <c r="L16" s="177">
        <f>L17+L398</f>
        <v>2768983.6999999993</v>
      </c>
      <c r="M16" s="176">
        <f t="shared" si="0"/>
        <v>5935.6</v>
      </c>
      <c r="N16" s="177">
        <f t="shared" si="0"/>
        <v>2774919.2999999993</v>
      </c>
      <c r="O16" s="178">
        <f>L16+M16</f>
        <v>2774919.2999999993</v>
      </c>
      <c r="P16" s="92">
        <f>O16-N16</f>
        <v>0</v>
      </c>
    </row>
    <row r="17" spans="1:17" ht="32.450000000000003" customHeight="1" x14ac:dyDescent="0.2">
      <c r="A17" s="16" t="s">
        <v>21</v>
      </c>
      <c r="B17" s="445" t="s">
        <v>22</v>
      </c>
      <c r="C17" s="446"/>
      <c r="D17" s="446"/>
      <c r="E17" s="296"/>
      <c r="F17" s="180">
        <f t="shared" ref="F17:N17" si="1">F18+F34+F39+F83+F95+F139+F215+F250+F259+F307+F330+F348+F387+F391</f>
        <v>696259.80000000016</v>
      </c>
      <c r="G17" s="180">
        <f t="shared" si="1"/>
        <v>2995.3</v>
      </c>
      <c r="H17" s="180">
        <f t="shared" si="1"/>
        <v>699255.10000000021</v>
      </c>
      <c r="I17" s="181">
        <f t="shared" si="1"/>
        <v>2016723.2999999998</v>
      </c>
      <c r="J17" s="180">
        <f>J18+J34+J39+J83+J95+J139+J215+J250+J259+J307+J330+J348+J387+J391</f>
        <v>0</v>
      </c>
      <c r="K17" s="181">
        <f t="shared" si="1"/>
        <v>2016723.2999999998</v>
      </c>
      <c r="L17" s="180">
        <f t="shared" si="1"/>
        <v>2712983.0999999992</v>
      </c>
      <c r="M17" s="180">
        <f t="shared" si="1"/>
        <v>2995.3</v>
      </c>
      <c r="N17" s="180">
        <f t="shared" si="1"/>
        <v>2715978.3999999994</v>
      </c>
      <c r="O17" s="178">
        <f t="shared" ref="O17:O84" si="2">L17+M17</f>
        <v>2715978.399999999</v>
      </c>
      <c r="P17" s="92">
        <f t="shared" ref="P17:P84" si="3">O17-N17</f>
        <v>0</v>
      </c>
    </row>
    <row r="18" spans="1:17" ht="22.15" customHeight="1" x14ac:dyDescent="0.2">
      <c r="A18" s="19" t="s">
        <v>23</v>
      </c>
      <c r="B18" s="182" t="s">
        <v>24</v>
      </c>
      <c r="C18" s="183" t="s">
        <v>25</v>
      </c>
      <c r="D18" s="184" t="s">
        <v>26</v>
      </c>
      <c r="E18" s="185"/>
      <c r="F18" s="186">
        <f t="shared" ref="F18:N18" si="4">F19+F25</f>
        <v>15336.8</v>
      </c>
      <c r="G18" s="186">
        <f t="shared" si="4"/>
        <v>0</v>
      </c>
      <c r="H18" s="186">
        <f t="shared" si="4"/>
        <v>15336.8</v>
      </c>
      <c r="I18" s="187">
        <f t="shared" si="4"/>
        <v>556</v>
      </c>
      <c r="J18" s="186">
        <f>J19+J25</f>
        <v>0</v>
      </c>
      <c r="K18" s="187">
        <f t="shared" si="4"/>
        <v>556</v>
      </c>
      <c r="L18" s="186">
        <f t="shared" si="4"/>
        <v>15892.8</v>
      </c>
      <c r="M18" s="186">
        <f t="shared" si="4"/>
        <v>0</v>
      </c>
      <c r="N18" s="186">
        <f t="shared" si="4"/>
        <v>15892.8</v>
      </c>
      <c r="O18" s="178">
        <f t="shared" si="2"/>
        <v>15892.8</v>
      </c>
      <c r="P18" s="92">
        <f t="shared" si="3"/>
        <v>0</v>
      </c>
      <c r="Q18" s="25"/>
    </row>
    <row r="19" spans="1:17" ht="47.25" x14ac:dyDescent="0.2">
      <c r="A19" s="42"/>
      <c r="B19" s="168" t="s">
        <v>27</v>
      </c>
      <c r="C19" s="169" t="s">
        <v>28</v>
      </c>
      <c r="D19" s="170" t="s">
        <v>26</v>
      </c>
      <c r="E19" s="171"/>
      <c r="F19" s="172">
        <f>F20+F23</f>
        <v>2519.6999999999998</v>
      </c>
      <c r="G19" s="172">
        <f>G20+G23</f>
        <v>57.2</v>
      </c>
      <c r="H19" s="172">
        <f>H20+H23</f>
        <v>2576.9</v>
      </c>
      <c r="I19" s="188">
        <f>I20+I23</f>
        <v>400</v>
      </c>
      <c r="J19" s="189"/>
      <c r="K19" s="188">
        <f>K20+K23</f>
        <v>400</v>
      </c>
      <c r="L19" s="172">
        <f>L20+L23</f>
        <v>2919.7</v>
      </c>
      <c r="M19" s="172">
        <f>M20+M23</f>
        <v>57.2</v>
      </c>
      <c r="N19" s="172">
        <f>N20+N23</f>
        <v>2976.9</v>
      </c>
      <c r="O19" s="178">
        <f t="shared" si="2"/>
        <v>2976.8999999999996</v>
      </c>
      <c r="P19" s="92">
        <f t="shared" si="3"/>
        <v>0</v>
      </c>
      <c r="Q19" s="48"/>
    </row>
    <row r="20" spans="1:17" ht="47.25" x14ac:dyDescent="0.2">
      <c r="A20" s="42"/>
      <c r="B20" s="168" t="s">
        <v>29</v>
      </c>
      <c r="C20" s="169" t="s">
        <v>30</v>
      </c>
      <c r="D20" s="170" t="s">
        <v>26</v>
      </c>
      <c r="E20" s="171"/>
      <c r="F20" s="172">
        <f>SUM(F21+F22)</f>
        <v>1889.1</v>
      </c>
      <c r="G20" s="172">
        <f>SUM(G21)</f>
        <v>57.2</v>
      </c>
      <c r="H20" s="172">
        <f>SUM(F20)+G20</f>
        <v>1946.3</v>
      </c>
      <c r="I20" s="188">
        <f t="shared" ref="I20:N20" si="5">I21+I22</f>
        <v>400</v>
      </c>
      <c r="J20" s="189">
        <f t="shared" si="5"/>
        <v>0</v>
      </c>
      <c r="K20" s="188">
        <f t="shared" si="5"/>
        <v>400</v>
      </c>
      <c r="L20" s="172">
        <f t="shared" si="5"/>
        <v>2289.1</v>
      </c>
      <c r="M20" s="172">
        <f t="shared" si="5"/>
        <v>57.2</v>
      </c>
      <c r="N20" s="172">
        <f t="shared" si="5"/>
        <v>2346.3000000000002</v>
      </c>
      <c r="O20" s="178">
        <f t="shared" si="2"/>
        <v>2346.2999999999997</v>
      </c>
      <c r="P20" s="92">
        <f t="shared" si="3"/>
        <v>0</v>
      </c>
    </row>
    <row r="21" spans="1:17" ht="67.900000000000006" customHeight="1" x14ac:dyDescent="0.2">
      <c r="A21" s="42"/>
      <c r="B21" s="168" t="s">
        <v>31</v>
      </c>
      <c r="C21" s="169" t="s">
        <v>30</v>
      </c>
      <c r="D21" s="170" t="s">
        <v>32</v>
      </c>
      <c r="E21" s="171"/>
      <c r="F21" s="172">
        <v>1818.1</v>
      </c>
      <c r="G21" s="172">
        <v>57.2</v>
      </c>
      <c r="H21" s="172">
        <f>1818.1+G21</f>
        <v>1875.3</v>
      </c>
      <c r="I21" s="188">
        <v>288.2</v>
      </c>
      <c r="J21" s="189"/>
      <c r="K21" s="188">
        <f>SUM(I21:J21)</f>
        <v>288.2</v>
      </c>
      <c r="L21" s="172">
        <f t="shared" ref="L21:N22" si="6">F21+I21</f>
        <v>2106.2999999999997</v>
      </c>
      <c r="M21" s="172">
        <f t="shared" si="6"/>
        <v>57.2</v>
      </c>
      <c r="N21" s="172">
        <f t="shared" si="6"/>
        <v>2163.5</v>
      </c>
      <c r="O21" s="178">
        <f t="shared" si="2"/>
        <v>2163.4999999999995</v>
      </c>
      <c r="P21" s="92">
        <f t="shared" si="3"/>
        <v>0</v>
      </c>
    </row>
    <row r="22" spans="1:17" ht="37.15" customHeight="1" x14ac:dyDescent="0.2">
      <c r="A22" s="42"/>
      <c r="B22" s="168" t="s">
        <v>35</v>
      </c>
      <c r="C22" s="169" t="s">
        <v>30</v>
      </c>
      <c r="D22" s="170" t="s">
        <v>36</v>
      </c>
      <c r="E22" s="171"/>
      <c r="F22" s="172">
        <v>71</v>
      </c>
      <c r="G22" s="172"/>
      <c r="H22" s="172">
        <v>71</v>
      </c>
      <c r="I22" s="188">
        <v>111.8</v>
      </c>
      <c r="J22" s="189"/>
      <c r="K22" s="188">
        <f>SUM(I22:J22)</f>
        <v>111.8</v>
      </c>
      <c r="L22" s="172">
        <f t="shared" si="6"/>
        <v>182.8</v>
      </c>
      <c r="M22" s="172">
        <f t="shared" si="6"/>
        <v>0</v>
      </c>
      <c r="N22" s="172">
        <f t="shared" si="6"/>
        <v>182.8</v>
      </c>
      <c r="O22" s="178">
        <f t="shared" si="2"/>
        <v>182.8</v>
      </c>
      <c r="P22" s="92">
        <f t="shared" si="3"/>
        <v>0</v>
      </c>
    </row>
    <row r="23" spans="1:17" ht="36" customHeight="1" x14ac:dyDescent="0.2">
      <c r="A23" s="42"/>
      <c r="B23" s="168" t="s">
        <v>33</v>
      </c>
      <c r="C23" s="169" t="s">
        <v>34</v>
      </c>
      <c r="D23" s="170" t="s">
        <v>26</v>
      </c>
      <c r="E23" s="171"/>
      <c r="F23" s="172">
        <f>F24</f>
        <v>630.6</v>
      </c>
      <c r="G23" s="172">
        <f>G24</f>
        <v>0</v>
      </c>
      <c r="H23" s="172">
        <f>H24</f>
        <v>630.6</v>
      </c>
      <c r="I23" s="188">
        <f>I24</f>
        <v>0</v>
      </c>
      <c r="J23" s="189"/>
      <c r="K23" s="188">
        <f>K24</f>
        <v>0</v>
      </c>
      <c r="L23" s="172">
        <f>L24</f>
        <v>630.6</v>
      </c>
      <c r="M23" s="172">
        <f>M24</f>
        <v>0</v>
      </c>
      <c r="N23" s="172">
        <f>N24</f>
        <v>630.6</v>
      </c>
      <c r="O23" s="178">
        <f t="shared" si="2"/>
        <v>630.6</v>
      </c>
      <c r="P23" s="92">
        <f t="shared" si="3"/>
        <v>0</v>
      </c>
    </row>
    <row r="24" spans="1:17" ht="31.5" x14ac:dyDescent="0.2">
      <c r="A24" s="42"/>
      <c r="B24" s="168" t="s">
        <v>35</v>
      </c>
      <c r="C24" s="169" t="s">
        <v>34</v>
      </c>
      <c r="D24" s="170" t="s">
        <v>36</v>
      </c>
      <c r="E24" s="171"/>
      <c r="F24" s="172">
        <v>630.6</v>
      </c>
      <c r="G24" s="172"/>
      <c r="H24" s="172">
        <f>SUM(F24)+G24</f>
        <v>630.6</v>
      </c>
      <c r="I24" s="188">
        <v>0</v>
      </c>
      <c r="J24" s="189"/>
      <c r="K24" s="188">
        <v>0</v>
      </c>
      <c r="L24" s="172">
        <f>SUM(F24)</f>
        <v>630.6</v>
      </c>
      <c r="M24" s="172">
        <f>SUM(G24)</f>
        <v>0</v>
      </c>
      <c r="N24" s="172">
        <f>SUM(L24)+M24</f>
        <v>630.6</v>
      </c>
      <c r="O24" s="178">
        <f t="shared" si="2"/>
        <v>630.6</v>
      </c>
      <c r="P24" s="92">
        <f t="shared" si="3"/>
        <v>0</v>
      </c>
    </row>
    <row r="25" spans="1:17" ht="47.25" x14ac:dyDescent="0.2">
      <c r="A25" s="42"/>
      <c r="B25" s="168" t="s">
        <v>37</v>
      </c>
      <c r="C25" s="169" t="s">
        <v>38</v>
      </c>
      <c r="D25" s="170" t="s">
        <v>26</v>
      </c>
      <c r="E25" s="171"/>
      <c r="F25" s="172">
        <f>F26+F30</f>
        <v>12817.1</v>
      </c>
      <c r="G25" s="172">
        <f>G26+G30</f>
        <v>-57.2</v>
      </c>
      <c r="H25" s="172">
        <f>H26+H30</f>
        <v>12759.9</v>
      </c>
      <c r="I25" s="188">
        <f>I26+I30+I32</f>
        <v>156</v>
      </c>
      <c r="J25" s="189">
        <f>SUM(J32)</f>
        <v>0</v>
      </c>
      <c r="K25" s="188">
        <f>K26+K30+K32</f>
        <v>156</v>
      </c>
      <c r="L25" s="172">
        <f>L26+L30+L33</f>
        <v>12973.1</v>
      </c>
      <c r="M25" s="172">
        <f>M26+M30+J25</f>
        <v>-57.2</v>
      </c>
      <c r="N25" s="172">
        <f>N26+N30+N33</f>
        <v>12915.9</v>
      </c>
      <c r="O25" s="178">
        <f t="shared" si="2"/>
        <v>12915.9</v>
      </c>
      <c r="P25" s="92">
        <f t="shared" si="3"/>
        <v>0</v>
      </c>
    </row>
    <row r="26" spans="1:17" ht="31.5" x14ac:dyDescent="0.2">
      <c r="A26" s="42"/>
      <c r="B26" s="168" t="s">
        <v>39</v>
      </c>
      <c r="C26" s="169" t="s">
        <v>40</v>
      </c>
      <c r="D26" s="170" t="s">
        <v>26</v>
      </c>
      <c r="E26" s="171"/>
      <c r="F26" s="172">
        <f>F27+F28+F29</f>
        <v>12012</v>
      </c>
      <c r="G26" s="172">
        <f>G27+G28+G29</f>
        <v>-57.2</v>
      </c>
      <c r="H26" s="172">
        <f>H27+H28+H29</f>
        <v>11954.8</v>
      </c>
      <c r="I26" s="188">
        <f>I27+I28+I29</f>
        <v>0</v>
      </c>
      <c r="J26" s="189">
        <f>SUM(I27)+J28</f>
        <v>0</v>
      </c>
      <c r="K26" s="188">
        <f>K27+K28+K29</f>
        <v>0</v>
      </c>
      <c r="L26" s="172">
        <f>L27+L28+L29</f>
        <v>12012</v>
      </c>
      <c r="M26" s="172">
        <f>M27+M28+M29</f>
        <v>-57.2</v>
      </c>
      <c r="N26" s="172">
        <f>N27+N28+N29</f>
        <v>11954.8</v>
      </c>
      <c r="O26" s="178">
        <f t="shared" si="2"/>
        <v>11954.8</v>
      </c>
      <c r="P26" s="92">
        <f t="shared" si="3"/>
        <v>0</v>
      </c>
    </row>
    <row r="27" spans="1:17" ht="67.900000000000006" customHeight="1" x14ac:dyDescent="0.2">
      <c r="A27" s="42"/>
      <c r="B27" s="168" t="s">
        <v>31</v>
      </c>
      <c r="C27" s="169" t="s">
        <v>40</v>
      </c>
      <c r="D27" s="170" t="s">
        <v>32</v>
      </c>
      <c r="E27" s="171"/>
      <c r="F27" s="172">
        <v>8949.5</v>
      </c>
      <c r="G27" s="172">
        <v>-57.2</v>
      </c>
      <c r="H27" s="172">
        <f>SUM(F27)+G27</f>
        <v>8892.2999999999993</v>
      </c>
      <c r="I27" s="188">
        <v>0</v>
      </c>
      <c r="J27" s="189"/>
      <c r="K27" s="188">
        <v>0</v>
      </c>
      <c r="L27" s="172">
        <f>SUM(F27)</f>
        <v>8949.5</v>
      </c>
      <c r="M27" s="172">
        <f>SUM(G27)</f>
        <v>-57.2</v>
      </c>
      <c r="N27" s="172">
        <f>SUM(H27)</f>
        <v>8892.2999999999993</v>
      </c>
      <c r="O27" s="178">
        <f t="shared" si="2"/>
        <v>8892.2999999999993</v>
      </c>
      <c r="P27" s="92">
        <f t="shared" si="3"/>
        <v>0</v>
      </c>
    </row>
    <row r="28" spans="1:17" ht="31.5" x14ac:dyDescent="0.2">
      <c r="A28" s="42"/>
      <c r="B28" s="168" t="s">
        <v>35</v>
      </c>
      <c r="C28" s="169" t="s">
        <v>40</v>
      </c>
      <c r="D28" s="170" t="s">
        <v>36</v>
      </c>
      <c r="E28" s="171"/>
      <c r="F28" s="172">
        <v>3058.8</v>
      </c>
      <c r="G28" s="172"/>
      <c r="H28" s="172">
        <f>SUM(F28)+G28</f>
        <v>3058.8</v>
      </c>
      <c r="I28" s="188">
        <v>0</v>
      </c>
      <c r="J28" s="189"/>
      <c r="K28" s="188">
        <f>SUM(J28)</f>
        <v>0</v>
      </c>
      <c r="L28" s="172">
        <f>SUM(F28)</f>
        <v>3058.8</v>
      </c>
      <c r="M28" s="172">
        <f>SUM(G28+J28)</f>
        <v>0</v>
      </c>
      <c r="N28" s="172">
        <f>SUM(H28)</f>
        <v>3058.8</v>
      </c>
      <c r="O28" s="178">
        <f t="shared" si="2"/>
        <v>3058.8</v>
      </c>
      <c r="P28" s="92">
        <f t="shared" si="3"/>
        <v>0</v>
      </c>
    </row>
    <row r="29" spans="1:17" ht="18.75" x14ac:dyDescent="0.2">
      <c r="A29" s="42"/>
      <c r="B29" s="168" t="s">
        <v>41</v>
      </c>
      <c r="C29" s="169" t="s">
        <v>40</v>
      </c>
      <c r="D29" s="170" t="s">
        <v>42</v>
      </c>
      <c r="E29" s="171"/>
      <c r="F29" s="172">
        <v>3.7</v>
      </c>
      <c r="G29" s="172"/>
      <c r="H29" s="172">
        <v>3.7</v>
      </c>
      <c r="I29" s="188">
        <v>0</v>
      </c>
      <c r="J29" s="189"/>
      <c r="K29" s="188">
        <v>0</v>
      </c>
      <c r="L29" s="172">
        <v>3.7</v>
      </c>
      <c r="M29" s="172"/>
      <c r="N29" s="172">
        <v>3.7</v>
      </c>
      <c r="O29" s="178">
        <f t="shared" si="2"/>
        <v>3.7</v>
      </c>
      <c r="P29" s="92">
        <f t="shared" si="3"/>
        <v>0</v>
      </c>
    </row>
    <row r="30" spans="1:17" ht="31.5" x14ac:dyDescent="0.2">
      <c r="A30" s="42"/>
      <c r="B30" s="168" t="s">
        <v>43</v>
      </c>
      <c r="C30" s="169" t="s">
        <v>44</v>
      </c>
      <c r="D30" s="170" t="s">
        <v>26</v>
      </c>
      <c r="E30" s="171"/>
      <c r="F30" s="172">
        <f>F31</f>
        <v>805.1</v>
      </c>
      <c r="G30" s="172">
        <f>G31</f>
        <v>0</v>
      </c>
      <c r="H30" s="172">
        <f>H31</f>
        <v>805.1</v>
      </c>
      <c r="I30" s="188">
        <f>I31</f>
        <v>0</v>
      </c>
      <c r="J30" s="189"/>
      <c r="K30" s="188">
        <f>K31</f>
        <v>0</v>
      </c>
      <c r="L30" s="172">
        <f>L31</f>
        <v>805.1</v>
      </c>
      <c r="M30" s="172">
        <f>M31</f>
        <v>0</v>
      </c>
      <c r="N30" s="172">
        <f>N31</f>
        <v>805.1</v>
      </c>
      <c r="O30" s="178">
        <f t="shared" si="2"/>
        <v>805.1</v>
      </c>
      <c r="P30" s="92">
        <f t="shared" si="3"/>
        <v>0</v>
      </c>
    </row>
    <row r="31" spans="1:17" ht="31.5" x14ac:dyDescent="0.2">
      <c r="A31" s="42"/>
      <c r="B31" s="168" t="s">
        <v>35</v>
      </c>
      <c r="C31" s="169" t="s">
        <v>44</v>
      </c>
      <c r="D31" s="170" t="s">
        <v>36</v>
      </c>
      <c r="E31" s="171"/>
      <c r="F31" s="172">
        <v>805.1</v>
      </c>
      <c r="G31" s="172"/>
      <c r="H31" s="172">
        <f>SUM(F31)+G31</f>
        <v>805.1</v>
      </c>
      <c r="I31" s="188">
        <v>0</v>
      </c>
      <c r="J31" s="189"/>
      <c r="K31" s="188">
        <v>0</v>
      </c>
      <c r="L31" s="172">
        <f>SUM(F31)</f>
        <v>805.1</v>
      </c>
      <c r="M31" s="172">
        <f>SUM(G31)</f>
        <v>0</v>
      </c>
      <c r="N31" s="172">
        <f>SUM(H31)</f>
        <v>805.1</v>
      </c>
      <c r="O31" s="178">
        <f t="shared" si="2"/>
        <v>805.1</v>
      </c>
      <c r="P31" s="92">
        <f t="shared" si="3"/>
        <v>0</v>
      </c>
    </row>
    <row r="32" spans="1:17" ht="63" x14ac:dyDescent="0.2">
      <c r="A32" s="42"/>
      <c r="B32" s="158" t="s">
        <v>45</v>
      </c>
      <c r="C32" s="169" t="s">
        <v>46</v>
      </c>
      <c r="D32" s="170"/>
      <c r="E32" s="171"/>
      <c r="F32" s="172"/>
      <c r="G32" s="172"/>
      <c r="H32" s="172"/>
      <c r="I32" s="188">
        <f>SUM(I33)</f>
        <v>156</v>
      </c>
      <c r="J32" s="189">
        <f>SUM(J33)</f>
        <v>0</v>
      </c>
      <c r="K32" s="188">
        <f>SUM(I32)</f>
        <v>156</v>
      </c>
      <c r="L32" s="172">
        <f>SUM(I32)</f>
        <v>156</v>
      </c>
      <c r="M32" s="172"/>
      <c r="N32" s="172">
        <f>SUM(K32)</f>
        <v>156</v>
      </c>
      <c r="O32" s="178">
        <f t="shared" si="2"/>
        <v>156</v>
      </c>
      <c r="P32" s="92">
        <f t="shared" si="3"/>
        <v>0</v>
      </c>
    </row>
    <row r="33" spans="1:17" ht="31.5" x14ac:dyDescent="0.2">
      <c r="A33" s="42"/>
      <c r="B33" s="168" t="s">
        <v>35</v>
      </c>
      <c r="C33" s="169" t="s">
        <v>46</v>
      </c>
      <c r="D33" s="170" t="s">
        <v>36</v>
      </c>
      <c r="E33" s="171"/>
      <c r="F33" s="172"/>
      <c r="G33" s="172"/>
      <c r="H33" s="172"/>
      <c r="I33" s="188">
        <v>156</v>
      </c>
      <c r="J33" s="189"/>
      <c r="K33" s="188">
        <f>SUM(I33)</f>
        <v>156</v>
      </c>
      <c r="L33" s="172">
        <f>SUM(I33)</f>
        <v>156</v>
      </c>
      <c r="M33" s="172">
        <f>SUM(J33)</f>
        <v>0</v>
      </c>
      <c r="N33" s="172">
        <f>SUM(K33)</f>
        <v>156</v>
      </c>
      <c r="O33" s="178">
        <f t="shared" si="2"/>
        <v>156</v>
      </c>
      <c r="P33" s="92">
        <f t="shared" si="3"/>
        <v>0</v>
      </c>
    </row>
    <row r="34" spans="1:17" ht="31.5" x14ac:dyDescent="0.2">
      <c r="A34" s="19" t="s">
        <v>47</v>
      </c>
      <c r="B34" s="182" t="s">
        <v>48</v>
      </c>
      <c r="C34" s="183" t="s">
        <v>49</v>
      </c>
      <c r="D34" s="184" t="s">
        <v>26</v>
      </c>
      <c r="E34" s="185"/>
      <c r="F34" s="186">
        <f t="shared" ref="F34:N35" si="7">F35</f>
        <v>1813.8</v>
      </c>
      <c r="G34" s="186">
        <f t="shared" si="7"/>
        <v>0</v>
      </c>
      <c r="H34" s="186">
        <f t="shared" si="7"/>
        <v>1813.8</v>
      </c>
      <c r="I34" s="187">
        <f t="shared" si="7"/>
        <v>0</v>
      </c>
      <c r="J34" s="186">
        <f t="shared" si="7"/>
        <v>0</v>
      </c>
      <c r="K34" s="187">
        <f t="shared" si="7"/>
        <v>0</v>
      </c>
      <c r="L34" s="186">
        <f t="shared" si="7"/>
        <v>1813.8</v>
      </c>
      <c r="M34" s="186">
        <f t="shared" si="7"/>
        <v>0</v>
      </c>
      <c r="N34" s="186">
        <f t="shared" si="7"/>
        <v>1813.8</v>
      </c>
      <c r="O34" s="178">
        <f t="shared" si="2"/>
        <v>1813.8</v>
      </c>
      <c r="P34" s="92">
        <f t="shared" si="3"/>
        <v>0</v>
      </c>
    </row>
    <row r="35" spans="1:17" ht="50.45" customHeight="1" x14ac:dyDescent="0.2">
      <c r="A35" s="42"/>
      <c r="B35" s="168" t="s">
        <v>50</v>
      </c>
      <c r="C35" s="169" t="s">
        <v>51</v>
      </c>
      <c r="D35" s="170" t="s">
        <v>26</v>
      </c>
      <c r="E35" s="171"/>
      <c r="F35" s="172">
        <f t="shared" si="7"/>
        <v>1813.8</v>
      </c>
      <c r="G35" s="172">
        <f t="shared" si="7"/>
        <v>0</v>
      </c>
      <c r="H35" s="172">
        <f t="shared" si="7"/>
        <v>1813.8</v>
      </c>
      <c r="I35" s="188">
        <f t="shared" si="7"/>
        <v>0</v>
      </c>
      <c r="J35" s="189"/>
      <c r="K35" s="188">
        <f t="shared" si="7"/>
        <v>0</v>
      </c>
      <c r="L35" s="172">
        <f t="shared" si="7"/>
        <v>1813.8</v>
      </c>
      <c r="M35" s="172">
        <f t="shared" si="7"/>
        <v>0</v>
      </c>
      <c r="N35" s="172">
        <f t="shared" si="7"/>
        <v>1813.8</v>
      </c>
      <c r="O35" s="178">
        <f t="shared" si="2"/>
        <v>1813.8</v>
      </c>
      <c r="P35" s="92">
        <f t="shared" si="3"/>
        <v>0</v>
      </c>
    </row>
    <row r="36" spans="1:17" ht="36.6" customHeight="1" x14ac:dyDescent="0.2">
      <c r="A36" s="42"/>
      <c r="B36" s="168" t="s">
        <v>52</v>
      </c>
      <c r="C36" s="169" t="s">
        <v>53</v>
      </c>
      <c r="D36" s="170" t="s">
        <v>26</v>
      </c>
      <c r="E36" s="171"/>
      <c r="F36" s="172">
        <f>F37+F38</f>
        <v>1813.8</v>
      </c>
      <c r="G36" s="172">
        <f>G37+G38</f>
        <v>0</v>
      </c>
      <c r="H36" s="172">
        <f>H37+H38</f>
        <v>1813.8</v>
      </c>
      <c r="I36" s="188">
        <f>I37+I38</f>
        <v>0</v>
      </c>
      <c r="J36" s="189"/>
      <c r="K36" s="188">
        <f>K37+K38</f>
        <v>0</v>
      </c>
      <c r="L36" s="172">
        <f>L37+L38</f>
        <v>1813.8</v>
      </c>
      <c r="M36" s="172">
        <f>M37+M38</f>
        <v>0</v>
      </c>
      <c r="N36" s="172">
        <f>N37+N38</f>
        <v>1813.8</v>
      </c>
      <c r="O36" s="178">
        <f t="shared" si="2"/>
        <v>1813.8</v>
      </c>
      <c r="P36" s="92">
        <f t="shared" si="3"/>
        <v>0</v>
      </c>
    </row>
    <row r="37" spans="1:17" ht="31.5" x14ac:dyDescent="0.2">
      <c r="A37" s="42"/>
      <c r="B37" s="168" t="s">
        <v>35</v>
      </c>
      <c r="C37" s="169" t="s">
        <v>53</v>
      </c>
      <c r="D37" s="170" t="s">
        <v>36</v>
      </c>
      <c r="E37" s="171"/>
      <c r="F37" s="172">
        <v>300</v>
      </c>
      <c r="G37" s="172"/>
      <c r="H37" s="172">
        <v>300</v>
      </c>
      <c r="I37" s="188"/>
      <c r="J37" s="189"/>
      <c r="K37" s="188"/>
      <c r="L37" s="172">
        <v>300</v>
      </c>
      <c r="M37" s="172"/>
      <c r="N37" s="172">
        <v>300</v>
      </c>
      <c r="O37" s="178">
        <f t="shared" si="2"/>
        <v>300</v>
      </c>
      <c r="P37" s="92">
        <f t="shared" si="3"/>
        <v>0</v>
      </c>
    </row>
    <row r="38" spans="1:17" ht="18.75" x14ac:dyDescent="0.2">
      <c r="A38" s="42"/>
      <c r="B38" s="168" t="s">
        <v>54</v>
      </c>
      <c r="C38" s="169" t="s">
        <v>53</v>
      </c>
      <c r="D38" s="170" t="s">
        <v>55</v>
      </c>
      <c r="E38" s="171"/>
      <c r="F38" s="172">
        <v>1513.8</v>
      </c>
      <c r="G38" s="172"/>
      <c r="H38" s="172">
        <v>1513.8</v>
      </c>
      <c r="I38" s="188"/>
      <c r="J38" s="189"/>
      <c r="K38" s="188"/>
      <c r="L38" s="172">
        <v>1513.8</v>
      </c>
      <c r="M38" s="172"/>
      <c r="N38" s="172">
        <v>1513.8</v>
      </c>
      <c r="O38" s="178">
        <f t="shared" si="2"/>
        <v>1513.8</v>
      </c>
      <c r="P38" s="92">
        <f t="shared" si="3"/>
        <v>0</v>
      </c>
    </row>
    <row r="39" spans="1:17" ht="31.5" x14ac:dyDescent="0.2">
      <c r="A39" s="19" t="s">
        <v>56</v>
      </c>
      <c r="B39" s="182" t="s">
        <v>57</v>
      </c>
      <c r="C39" s="183" t="s">
        <v>58</v>
      </c>
      <c r="D39" s="184" t="s">
        <v>26</v>
      </c>
      <c r="E39" s="185"/>
      <c r="F39" s="186">
        <f t="shared" ref="F39:N39" si="8">F40+F48+F73</f>
        <v>143833.30000000002</v>
      </c>
      <c r="G39" s="186">
        <f>G40+G48+G73</f>
        <v>211.5</v>
      </c>
      <c r="H39" s="186">
        <f t="shared" si="8"/>
        <v>144044.80000000002</v>
      </c>
      <c r="I39" s="187">
        <f t="shared" si="8"/>
        <v>27919.600000000002</v>
      </c>
      <c r="J39" s="271">
        <f t="shared" si="8"/>
        <v>0</v>
      </c>
      <c r="K39" s="187">
        <f t="shared" si="8"/>
        <v>27919.600000000002</v>
      </c>
      <c r="L39" s="186">
        <f t="shared" si="8"/>
        <v>171752.90000000002</v>
      </c>
      <c r="M39" s="271">
        <f t="shared" si="8"/>
        <v>211.5</v>
      </c>
      <c r="N39" s="271">
        <f t="shared" si="8"/>
        <v>171964.40000000002</v>
      </c>
      <c r="O39" s="178">
        <f t="shared" si="2"/>
        <v>171964.40000000002</v>
      </c>
      <c r="P39" s="92">
        <f t="shared" si="3"/>
        <v>0</v>
      </c>
      <c r="Q39" s="25"/>
    </row>
    <row r="40" spans="1:17" ht="18.75" x14ac:dyDescent="0.2">
      <c r="A40" s="49"/>
      <c r="B40" s="190" t="s">
        <v>59</v>
      </c>
      <c r="C40" s="191" t="s">
        <v>60</v>
      </c>
      <c r="D40" s="192" t="s">
        <v>26</v>
      </c>
      <c r="E40" s="193"/>
      <c r="F40" s="194">
        <f>F41</f>
        <v>6928.2</v>
      </c>
      <c r="G40" s="194">
        <f>G41</f>
        <v>-400</v>
      </c>
      <c r="H40" s="194">
        <f>H41</f>
        <v>6528.2</v>
      </c>
      <c r="I40" s="195">
        <f>I41</f>
        <v>0</v>
      </c>
      <c r="J40" s="196"/>
      <c r="K40" s="195">
        <f>K41</f>
        <v>0</v>
      </c>
      <c r="L40" s="194">
        <f>L41</f>
        <v>6928.2</v>
      </c>
      <c r="M40" s="194">
        <f>M41</f>
        <v>-400</v>
      </c>
      <c r="N40" s="194">
        <f>N41</f>
        <v>6528.2</v>
      </c>
      <c r="O40" s="178">
        <f t="shared" si="2"/>
        <v>6528.2</v>
      </c>
      <c r="P40" s="92">
        <f t="shared" si="3"/>
        <v>0</v>
      </c>
    </row>
    <row r="41" spans="1:17" ht="18.75" x14ac:dyDescent="0.2">
      <c r="A41" s="42"/>
      <c r="B41" s="168" t="s">
        <v>61</v>
      </c>
      <c r="C41" s="169" t="s">
        <v>62</v>
      </c>
      <c r="D41" s="170" t="s">
        <v>26</v>
      </c>
      <c r="E41" s="171"/>
      <c r="F41" s="172">
        <f>F42+F44+F46</f>
        <v>6928.2</v>
      </c>
      <c r="G41" s="172">
        <f>G42+G44+G46</f>
        <v>-400</v>
      </c>
      <c r="H41" s="172">
        <f>H42+H44+H46</f>
        <v>6528.2</v>
      </c>
      <c r="I41" s="188">
        <f>I42+I44+I46</f>
        <v>0</v>
      </c>
      <c r="J41" s="189"/>
      <c r="K41" s="188">
        <f>K42+K44+K46</f>
        <v>0</v>
      </c>
      <c r="L41" s="172">
        <f>L42+L44+L46</f>
        <v>6928.2</v>
      </c>
      <c r="M41" s="172">
        <f>M42+M44+M46</f>
        <v>-400</v>
      </c>
      <c r="N41" s="172">
        <f>N42+N44+N46</f>
        <v>6528.2</v>
      </c>
      <c r="O41" s="178">
        <f t="shared" si="2"/>
        <v>6528.2</v>
      </c>
      <c r="P41" s="92">
        <f t="shared" si="3"/>
        <v>0</v>
      </c>
    </row>
    <row r="42" spans="1:17" ht="18.75" x14ac:dyDescent="0.2">
      <c r="A42" s="42"/>
      <c r="B42" s="168" t="s">
        <v>63</v>
      </c>
      <c r="C42" s="169" t="s">
        <v>64</v>
      </c>
      <c r="D42" s="170" t="s">
        <v>26</v>
      </c>
      <c r="E42" s="171"/>
      <c r="F42" s="172">
        <f>F43</f>
        <v>6028.2</v>
      </c>
      <c r="G42" s="172">
        <f>G43</f>
        <v>-400</v>
      </c>
      <c r="H42" s="172">
        <f>H43</f>
        <v>5628.2</v>
      </c>
      <c r="I42" s="188">
        <f>I43</f>
        <v>0</v>
      </c>
      <c r="J42" s="189"/>
      <c r="K42" s="188">
        <f>K43</f>
        <v>0</v>
      </c>
      <c r="L42" s="172">
        <f>L43</f>
        <v>6028.2</v>
      </c>
      <c r="M42" s="172">
        <f>M43</f>
        <v>-400</v>
      </c>
      <c r="N42" s="172">
        <f>N43</f>
        <v>5628.2</v>
      </c>
      <c r="O42" s="178">
        <f t="shared" si="2"/>
        <v>5628.2</v>
      </c>
      <c r="P42" s="92">
        <f t="shared" si="3"/>
        <v>0</v>
      </c>
    </row>
    <row r="43" spans="1:17" ht="31.5" x14ac:dyDescent="0.2">
      <c r="A43" s="42"/>
      <c r="B43" s="168" t="s">
        <v>35</v>
      </c>
      <c r="C43" s="169" t="s">
        <v>64</v>
      </c>
      <c r="D43" s="170" t="s">
        <v>36</v>
      </c>
      <c r="E43" s="171"/>
      <c r="F43" s="172">
        <v>6028.2</v>
      </c>
      <c r="G43" s="172">
        <v>-400</v>
      </c>
      <c r="H43" s="172">
        <f>SUM(F43)+G43</f>
        <v>5628.2</v>
      </c>
      <c r="I43" s="188">
        <v>0</v>
      </c>
      <c r="J43" s="189"/>
      <c r="K43" s="188">
        <v>0</v>
      </c>
      <c r="L43" s="172">
        <f>SUM(F43)</f>
        <v>6028.2</v>
      </c>
      <c r="M43" s="172">
        <f>SUM(G43)</f>
        <v>-400</v>
      </c>
      <c r="N43" s="172">
        <f>SUM(L43)+M43</f>
        <v>5628.2</v>
      </c>
      <c r="O43" s="178">
        <f t="shared" si="2"/>
        <v>5628.2</v>
      </c>
      <c r="P43" s="92">
        <f t="shared" si="3"/>
        <v>0</v>
      </c>
    </row>
    <row r="44" spans="1:17" ht="18.75" x14ac:dyDescent="0.2">
      <c r="A44" s="42"/>
      <c r="B44" s="168" t="s">
        <v>65</v>
      </c>
      <c r="C44" s="169" t="s">
        <v>66</v>
      </c>
      <c r="D44" s="170" t="s">
        <v>26</v>
      </c>
      <c r="E44" s="171"/>
      <c r="F44" s="172">
        <f>F45</f>
        <v>900</v>
      </c>
      <c r="G44" s="172">
        <f>G45</f>
        <v>0</v>
      </c>
      <c r="H44" s="172">
        <f>H45</f>
        <v>900</v>
      </c>
      <c r="I44" s="188">
        <f>I45</f>
        <v>0</v>
      </c>
      <c r="J44" s="189"/>
      <c r="K44" s="188">
        <f>K45</f>
        <v>0</v>
      </c>
      <c r="L44" s="172">
        <f>L45</f>
        <v>900</v>
      </c>
      <c r="M44" s="172">
        <f>M45</f>
        <v>0</v>
      </c>
      <c r="N44" s="172">
        <f>N45</f>
        <v>900</v>
      </c>
      <c r="O44" s="178">
        <f t="shared" si="2"/>
        <v>900</v>
      </c>
      <c r="P44" s="92">
        <f t="shared" si="3"/>
        <v>0</v>
      </c>
    </row>
    <row r="45" spans="1:17" ht="31.5" x14ac:dyDescent="0.2">
      <c r="A45" s="42"/>
      <c r="B45" s="168" t="s">
        <v>35</v>
      </c>
      <c r="C45" s="169" t="s">
        <v>66</v>
      </c>
      <c r="D45" s="170" t="s">
        <v>36</v>
      </c>
      <c r="E45" s="171"/>
      <c r="F45" s="172">
        <v>900</v>
      </c>
      <c r="G45" s="172"/>
      <c r="H45" s="172">
        <v>900</v>
      </c>
      <c r="I45" s="188">
        <v>0</v>
      </c>
      <c r="J45" s="189"/>
      <c r="K45" s="188">
        <v>0</v>
      </c>
      <c r="L45" s="172">
        <f>SUM(F45)</f>
        <v>900</v>
      </c>
      <c r="M45" s="172">
        <f>SUM(G45)</f>
        <v>0</v>
      </c>
      <c r="N45" s="172">
        <f>SUM(H45)</f>
        <v>900</v>
      </c>
      <c r="O45" s="178">
        <f t="shared" si="2"/>
        <v>900</v>
      </c>
      <c r="P45" s="92">
        <f t="shared" si="3"/>
        <v>0</v>
      </c>
    </row>
    <row r="46" spans="1:17" ht="18.75" x14ac:dyDescent="0.2">
      <c r="A46" s="42"/>
      <c r="B46" s="168" t="s">
        <v>67</v>
      </c>
      <c r="C46" s="169" t="s">
        <v>68</v>
      </c>
      <c r="D46" s="170" t="s">
        <v>26</v>
      </c>
      <c r="E46" s="171"/>
      <c r="F46" s="172">
        <f>F47</f>
        <v>0</v>
      </c>
      <c r="G46" s="172">
        <f>G47</f>
        <v>0</v>
      </c>
      <c r="H46" s="172">
        <f>H47</f>
        <v>0</v>
      </c>
      <c r="I46" s="188">
        <f>I47</f>
        <v>0</v>
      </c>
      <c r="J46" s="189"/>
      <c r="K46" s="188">
        <f>K47</f>
        <v>0</v>
      </c>
      <c r="L46" s="172">
        <f>L47</f>
        <v>0</v>
      </c>
      <c r="M46" s="172">
        <f>M47</f>
        <v>0</v>
      </c>
      <c r="N46" s="172">
        <f>N47</f>
        <v>0</v>
      </c>
      <c r="O46" s="178">
        <f t="shared" si="2"/>
        <v>0</v>
      </c>
      <c r="P46" s="92">
        <f t="shared" si="3"/>
        <v>0</v>
      </c>
    </row>
    <row r="47" spans="1:17" ht="31.5" x14ac:dyDescent="0.2">
      <c r="A47" s="42"/>
      <c r="B47" s="168" t="s">
        <v>35</v>
      </c>
      <c r="C47" s="169" t="s">
        <v>68</v>
      </c>
      <c r="D47" s="170" t="s">
        <v>36</v>
      </c>
      <c r="E47" s="171"/>
      <c r="F47" s="172"/>
      <c r="G47" s="172"/>
      <c r="H47" s="172"/>
      <c r="I47" s="188">
        <v>0</v>
      </c>
      <c r="J47" s="189"/>
      <c r="K47" s="188">
        <v>0</v>
      </c>
      <c r="L47" s="172"/>
      <c r="M47" s="172"/>
      <c r="N47" s="172"/>
      <c r="O47" s="178">
        <f t="shared" si="2"/>
        <v>0</v>
      </c>
      <c r="P47" s="92">
        <f t="shared" si="3"/>
        <v>0</v>
      </c>
    </row>
    <row r="48" spans="1:17" ht="47.25" x14ac:dyDescent="0.2">
      <c r="A48" s="49"/>
      <c r="B48" s="190" t="s">
        <v>69</v>
      </c>
      <c r="C48" s="191" t="s">
        <v>70</v>
      </c>
      <c r="D48" s="192" t="s">
        <v>26</v>
      </c>
      <c r="E48" s="193"/>
      <c r="F48" s="194">
        <f t="shared" ref="F48:N48" si="9">F49+F68+F65</f>
        <v>133767.1</v>
      </c>
      <c r="G48" s="194">
        <f t="shared" si="9"/>
        <v>611.5</v>
      </c>
      <c r="H48" s="194">
        <f t="shared" si="9"/>
        <v>134378.6</v>
      </c>
      <c r="I48" s="195">
        <f t="shared" si="9"/>
        <v>27919.600000000002</v>
      </c>
      <c r="J48" s="194">
        <f t="shared" si="9"/>
        <v>0</v>
      </c>
      <c r="K48" s="195">
        <f t="shared" si="9"/>
        <v>27919.600000000002</v>
      </c>
      <c r="L48" s="194">
        <f t="shared" si="9"/>
        <v>161686.70000000001</v>
      </c>
      <c r="M48" s="194">
        <f t="shared" si="9"/>
        <v>611.5</v>
      </c>
      <c r="N48" s="272">
        <f t="shared" si="9"/>
        <v>162298.20000000001</v>
      </c>
      <c r="O48" s="178">
        <f t="shared" si="2"/>
        <v>162298.20000000001</v>
      </c>
      <c r="P48" s="92">
        <f t="shared" si="3"/>
        <v>0</v>
      </c>
      <c r="Q48" s="55"/>
    </row>
    <row r="49" spans="1:18" ht="36.6" customHeight="1" x14ac:dyDescent="0.2">
      <c r="A49" s="42"/>
      <c r="B49" s="168" t="s">
        <v>71</v>
      </c>
      <c r="C49" s="169" t="s">
        <v>72</v>
      </c>
      <c r="D49" s="170" t="s">
        <v>26</v>
      </c>
      <c r="E49" s="171"/>
      <c r="F49" s="172">
        <f>F50+F59+F63+F57+F55</f>
        <v>122250.6</v>
      </c>
      <c r="G49" s="172">
        <f>G50+G59+G63+G57+G55</f>
        <v>611.5</v>
      </c>
      <c r="H49" s="172">
        <f>H50+H59+H63+H57+H55</f>
        <v>122862.1</v>
      </c>
      <c r="I49" s="172">
        <f>I50+I59+I63+I57+I61</f>
        <v>26357.100000000002</v>
      </c>
      <c r="J49" s="172">
        <f>SUM(J57)+J50+J59+J61</f>
        <v>0</v>
      </c>
      <c r="K49" s="172">
        <f>K50+K59+K63+K57+K61</f>
        <v>26357.100000000002</v>
      </c>
      <c r="L49" s="172">
        <f>SUM(F49+I49)</f>
        <v>148607.70000000001</v>
      </c>
      <c r="M49" s="172">
        <f>M50+M59+M63+M65+M57+M55</f>
        <v>611.5</v>
      </c>
      <c r="N49" s="273">
        <f>H49+K49</f>
        <v>149219.20000000001</v>
      </c>
      <c r="O49" s="178">
        <f t="shared" si="2"/>
        <v>149219.20000000001</v>
      </c>
      <c r="P49" s="92">
        <f t="shared" si="3"/>
        <v>0</v>
      </c>
      <c r="Q49" s="48">
        <v>148176</v>
      </c>
      <c r="R49" s="276">
        <f>Q49-N49</f>
        <v>-1043.2000000000116</v>
      </c>
    </row>
    <row r="50" spans="1:18" ht="31.5" x14ac:dyDescent="0.2">
      <c r="A50" s="42"/>
      <c r="B50" s="168" t="s">
        <v>39</v>
      </c>
      <c r="C50" s="169" t="s">
        <v>73</v>
      </c>
      <c r="D50" s="170" t="s">
        <v>26</v>
      </c>
      <c r="E50" s="171"/>
      <c r="F50" s="172">
        <f>SUM(F53+F54+F52)+F51</f>
        <v>115183.5</v>
      </c>
      <c r="G50" s="172">
        <f>G51+G52+G53+G54</f>
        <v>0</v>
      </c>
      <c r="H50" s="172">
        <f>H51+H52+H53+H54</f>
        <v>115183.5</v>
      </c>
      <c r="I50" s="188">
        <f>I51+I52+I53+I54</f>
        <v>22010.9</v>
      </c>
      <c r="J50" s="189">
        <f>SUM(J53+J51)</f>
        <v>0</v>
      </c>
      <c r="K50" s="188">
        <f>K51+K52+K53+K54</f>
        <v>22010.9</v>
      </c>
      <c r="L50" s="172">
        <f>L51+L52+L53+L54</f>
        <v>137194.4</v>
      </c>
      <c r="M50" s="172">
        <f>M51+M52+M53+M54</f>
        <v>0</v>
      </c>
      <c r="N50" s="273">
        <f>N51+N52+N53+N54+M50</f>
        <v>137194.4</v>
      </c>
      <c r="O50" s="178">
        <f t="shared" si="2"/>
        <v>137194.4</v>
      </c>
      <c r="P50" s="92">
        <f t="shared" si="3"/>
        <v>0</v>
      </c>
    </row>
    <row r="51" spans="1:18" ht="64.150000000000006" customHeight="1" x14ac:dyDescent="0.2">
      <c r="A51" s="42"/>
      <c r="B51" s="168" t="s">
        <v>31</v>
      </c>
      <c r="C51" s="169" t="s">
        <v>73</v>
      </c>
      <c r="D51" s="170" t="s">
        <v>32</v>
      </c>
      <c r="E51" s="171"/>
      <c r="F51" s="172">
        <v>20610.5</v>
      </c>
      <c r="G51" s="172"/>
      <c r="H51" s="172">
        <f>F51+G51</f>
        <v>20610.5</v>
      </c>
      <c r="I51" s="188">
        <v>4193.2</v>
      </c>
      <c r="J51" s="189"/>
      <c r="K51" s="188">
        <f>I51+J51</f>
        <v>4193.2</v>
      </c>
      <c r="L51" s="172">
        <f>F51+I51</f>
        <v>24803.7</v>
      </c>
      <c r="M51" s="172">
        <f>G51+J51</f>
        <v>0</v>
      </c>
      <c r="N51" s="273">
        <f>H51+K51</f>
        <v>24803.7</v>
      </c>
      <c r="O51" s="178">
        <f t="shared" si="2"/>
        <v>24803.7</v>
      </c>
      <c r="P51" s="92">
        <f t="shared" si="3"/>
        <v>0</v>
      </c>
    </row>
    <row r="52" spans="1:18" ht="31.5" x14ac:dyDescent="0.2">
      <c r="A52" s="42"/>
      <c r="B52" s="168" t="s">
        <v>35</v>
      </c>
      <c r="C52" s="169" t="s">
        <v>73</v>
      </c>
      <c r="D52" s="170" t="s">
        <v>36</v>
      </c>
      <c r="E52" s="171"/>
      <c r="F52" s="172">
        <v>6675.7</v>
      </c>
      <c r="G52" s="172"/>
      <c r="H52" s="172">
        <f>SUM(F52)+G52</f>
        <v>6675.7</v>
      </c>
      <c r="I52" s="188">
        <v>0</v>
      </c>
      <c r="J52" s="189"/>
      <c r="K52" s="188">
        <v>0</v>
      </c>
      <c r="L52" s="172">
        <f>SUM(F52)</f>
        <v>6675.7</v>
      </c>
      <c r="M52" s="172">
        <f>SUM(G52)</f>
        <v>0</v>
      </c>
      <c r="N52" s="273">
        <f>SUM(H52)</f>
        <v>6675.7</v>
      </c>
      <c r="O52" s="178">
        <f t="shared" si="2"/>
        <v>6675.7</v>
      </c>
      <c r="P52" s="92">
        <f t="shared" si="3"/>
        <v>0</v>
      </c>
    </row>
    <row r="53" spans="1:18" ht="31.5" x14ac:dyDescent="0.2">
      <c r="A53" s="42"/>
      <c r="B53" s="168" t="s">
        <v>74</v>
      </c>
      <c r="C53" s="169" t="s">
        <v>73</v>
      </c>
      <c r="D53" s="170" t="s">
        <v>75</v>
      </c>
      <c r="E53" s="171"/>
      <c r="F53" s="172">
        <f>86661+1213.2</f>
        <v>87874.2</v>
      </c>
      <c r="G53" s="172"/>
      <c r="H53" s="172">
        <f>86661+1213.2+G53</f>
        <v>87874.2</v>
      </c>
      <c r="I53" s="188">
        <v>17817.7</v>
      </c>
      <c r="J53" s="189"/>
      <c r="K53" s="188">
        <f>I53+J53</f>
        <v>17817.7</v>
      </c>
      <c r="L53" s="172">
        <f>86661+1213.2+I53</f>
        <v>105691.9</v>
      </c>
      <c r="M53" s="172">
        <f>G53+J53</f>
        <v>0</v>
      </c>
      <c r="N53" s="273">
        <f>86661+1213.2+K53+M53</f>
        <v>105691.9</v>
      </c>
      <c r="O53" s="178">
        <f t="shared" si="2"/>
        <v>105691.9</v>
      </c>
      <c r="P53" s="92">
        <f t="shared" si="3"/>
        <v>0</v>
      </c>
    </row>
    <row r="54" spans="1:18" ht="18.75" x14ac:dyDescent="0.2">
      <c r="A54" s="42"/>
      <c r="B54" s="168" t="s">
        <v>41</v>
      </c>
      <c r="C54" s="169" t="s">
        <v>73</v>
      </c>
      <c r="D54" s="170" t="s">
        <v>42</v>
      </c>
      <c r="E54" s="171"/>
      <c r="F54" s="172">
        <v>23.1</v>
      </c>
      <c r="G54" s="172"/>
      <c r="H54" s="172">
        <v>23.1</v>
      </c>
      <c r="I54" s="188">
        <v>0</v>
      </c>
      <c r="J54" s="189"/>
      <c r="K54" s="188">
        <v>0</v>
      </c>
      <c r="L54" s="172">
        <f>SUM(F54)</f>
        <v>23.1</v>
      </c>
      <c r="M54" s="172">
        <f>SUM(G54)</f>
        <v>0</v>
      </c>
      <c r="N54" s="273">
        <f>SUM(H54)</f>
        <v>23.1</v>
      </c>
      <c r="O54" s="178">
        <f t="shared" si="2"/>
        <v>23.1</v>
      </c>
      <c r="P54" s="92">
        <f t="shared" si="3"/>
        <v>0</v>
      </c>
    </row>
    <row r="55" spans="1:18" ht="31.5" x14ac:dyDescent="0.2">
      <c r="A55" s="42"/>
      <c r="B55" s="168" t="s">
        <v>211</v>
      </c>
      <c r="C55" s="169" t="s">
        <v>495</v>
      </c>
      <c r="D55" s="170"/>
      <c r="E55" s="171"/>
      <c r="F55" s="172">
        <f>F56</f>
        <v>397.2</v>
      </c>
      <c r="G55" s="172">
        <f t="shared" ref="G55:N55" si="10">G56</f>
        <v>400</v>
      </c>
      <c r="H55" s="172">
        <f t="shared" si="10"/>
        <v>797.2</v>
      </c>
      <c r="I55" s="172">
        <f t="shared" si="10"/>
        <v>0</v>
      </c>
      <c r="J55" s="172">
        <f t="shared" si="10"/>
        <v>0</v>
      </c>
      <c r="K55" s="172">
        <f t="shared" si="10"/>
        <v>0</v>
      </c>
      <c r="L55" s="172">
        <f t="shared" si="10"/>
        <v>397.2</v>
      </c>
      <c r="M55" s="172">
        <f t="shared" si="10"/>
        <v>400</v>
      </c>
      <c r="N55" s="273">
        <f t="shared" si="10"/>
        <v>797.2</v>
      </c>
      <c r="O55" s="178">
        <f t="shared" si="2"/>
        <v>797.2</v>
      </c>
      <c r="P55" s="92">
        <f t="shared" si="3"/>
        <v>0</v>
      </c>
    </row>
    <row r="56" spans="1:18" ht="31.5" x14ac:dyDescent="0.2">
      <c r="A56" s="42"/>
      <c r="B56" s="168" t="s">
        <v>74</v>
      </c>
      <c r="C56" s="169" t="s">
        <v>495</v>
      </c>
      <c r="D56" s="170" t="s">
        <v>75</v>
      </c>
      <c r="E56" s="171"/>
      <c r="F56" s="172">
        <v>397.2</v>
      </c>
      <c r="G56" s="172">
        <f>400</f>
        <v>400</v>
      </c>
      <c r="H56" s="172">
        <f>F56+G56</f>
        <v>797.2</v>
      </c>
      <c r="I56" s="188"/>
      <c r="J56" s="189"/>
      <c r="K56" s="188"/>
      <c r="L56" s="172">
        <f>SUM(F56)</f>
        <v>397.2</v>
      </c>
      <c r="M56" s="172">
        <f>SUM(G56)</f>
        <v>400</v>
      </c>
      <c r="N56" s="273">
        <f>L56+M56</f>
        <v>797.2</v>
      </c>
      <c r="O56" s="178">
        <f t="shared" si="2"/>
        <v>797.2</v>
      </c>
      <c r="P56" s="92">
        <f t="shared" si="3"/>
        <v>0</v>
      </c>
    </row>
    <row r="57" spans="1:18" ht="42.75" customHeight="1" x14ac:dyDescent="0.2">
      <c r="A57" s="42"/>
      <c r="B57" s="197" t="s">
        <v>76</v>
      </c>
      <c r="C57" s="169" t="s">
        <v>77</v>
      </c>
      <c r="D57" s="170"/>
      <c r="E57" s="171"/>
      <c r="F57" s="172">
        <f>SUM(F58)</f>
        <v>2648.7</v>
      </c>
      <c r="G57" s="172">
        <f>SUM(G58)</f>
        <v>0</v>
      </c>
      <c r="H57" s="172">
        <f>SUM(F57)+G57</f>
        <v>2648.7</v>
      </c>
      <c r="I57" s="188">
        <f>SUM(I58)</f>
        <v>0</v>
      </c>
      <c r="J57" s="189">
        <f>SUM(J58)</f>
        <v>0</v>
      </c>
      <c r="K57" s="188">
        <f>SUM(K58)</f>
        <v>0</v>
      </c>
      <c r="L57" s="172">
        <f>SUM(L58)</f>
        <v>2648.7</v>
      </c>
      <c r="M57" s="172">
        <f>SUM(J57)+G57</f>
        <v>0</v>
      </c>
      <c r="N57" s="273">
        <f>SUM(N58)</f>
        <v>2648.7</v>
      </c>
      <c r="O57" s="178">
        <f t="shared" si="2"/>
        <v>2648.7</v>
      </c>
      <c r="P57" s="92">
        <f t="shared" si="3"/>
        <v>0</v>
      </c>
    </row>
    <row r="58" spans="1:18" ht="31.5" x14ac:dyDescent="0.2">
      <c r="A58" s="42"/>
      <c r="B58" s="168" t="s">
        <v>74</v>
      </c>
      <c r="C58" s="169" t="s">
        <v>77</v>
      </c>
      <c r="D58" s="170" t="s">
        <v>75</v>
      </c>
      <c r="E58" s="171"/>
      <c r="F58" s="172">
        <v>2648.7</v>
      </c>
      <c r="G58" s="172"/>
      <c r="H58" s="172">
        <f>SUM(F58)+G58</f>
        <v>2648.7</v>
      </c>
      <c r="I58" s="188">
        <v>0</v>
      </c>
      <c r="J58" s="189"/>
      <c r="K58" s="188">
        <f>SUM(I58)+J58</f>
        <v>0</v>
      </c>
      <c r="L58" s="172">
        <f>SUM(F58+I58)</f>
        <v>2648.7</v>
      </c>
      <c r="M58" s="172">
        <f>SUM(J58)+G58</f>
        <v>0</v>
      </c>
      <c r="N58" s="273">
        <f>SUM(K58)+H58</f>
        <v>2648.7</v>
      </c>
      <c r="O58" s="178">
        <f t="shared" si="2"/>
        <v>2648.7</v>
      </c>
      <c r="P58" s="92">
        <f t="shared" si="3"/>
        <v>0</v>
      </c>
    </row>
    <row r="59" spans="1:18" ht="36" customHeight="1" x14ac:dyDescent="0.2">
      <c r="A59" s="42"/>
      <c r="B59" s="168" t="s">
        <v>78</v>
      </c>
      <c r="C59" s="169" t="s">
        <v>79</v>
      </c>
      <c r="D59" s="170" t="s">
        <v>26</v>
      </c>
      <c r="E59" s="171"/>
      <c r="F59" s="172">
        <f t="shared" ref="F59:N59" si="11">F60</f>
        <v>3395.1</v>
      </c>
      <c r="G59" s="172">
        <f t="shared" si="11"/>
        <v>211.5</v>
      </c>
      <c r="H59" s="172">
        <f t="shared" si="11"/>
        <v>3606.6</v>
      </c>
      <c r="I59" s="188">
        <f t="shared" si="11"/>
        <v>0</v>
      </c>
      <c r="J59" s="189">
        <f t="shared" si="11"/>
        <v>0</v>
      </c>
      <c r="K59" s="188">
        <f t="shared" si="11"/>
        <v>0</v>
      </c>
      <c r="L59" s="172">
        <f t="shared" si="11"/>
        <v>3395.1</v>
      </c>
      <c r="M59" s="172">
        <f t="shared" si="11"/>
        <v>211.5</v>
      </c>
      <c r="N59" s="273">
        <f t="shared" si="11"/>
        <v>3606.6</v>
      </c>
      <c r="O59" s="178">
        <f t="shared" si="2"/>
        <v>3606.6</v>
      </c>
      <c r="P59" s="92">
        <f t="shared" si="3"/>
        <v>0</v>
      </c>
    </row>
    <row r="60" spans="1:18" ht="31.5" x14ac:dyDescent="0.2">
      <c r="A60" s="42"/>
      <c r="B60" s="168" t="s">
        <v>74</v>
      </c>
      <c r="C60" s="169" t="s">
        <v>79</v>
      </c>
      <c r="D60" s="170" t="s">
        <v>75</v>
      </c>
      <c r="E60" s="171"/>
      <c r="F60" s="172">
        <v>3395.1</v>
      </c>
      <c r="G60" s="172">
        <v>211.5</v>
      </c>
      <c r="H60" s="172">
        <f>SUM(F60)+G60</f>
        <v>3606.6</v>
      </c>
      <c r="I60" s="188">
        <v>0</v>
      </c>
      <c r="J60" s="189"/>
      <c r="K60" s="188">
        <f>SUM(I60:J60)</f>
        <v>0</v>
      </c>
      <c r="L60" s="172">
        <f>SUM(F60)</f>
        <v>3395.1</v>
      </c>
      <c r="M60" s="254">
        <f>G60+J60</f>
        <v>211.5</v>
      </c>
      <c r="N60" s="273">
        <f>SUM(L60)+M60</f>
        <v>3606.6</v>
      </c>
      <c r="O60" s="178">
        <f t="shared" si="2"/>
        <v>3606.6</v>
      </c>
      <c r="P60" s="92">
        <f t="shared" si="3"/>
        <v>0</v>
      </c>
    </row>
    <row r="61" spans="1:18" ht="63" x14ac:dyDescent="0.2">
      <c r="A61" s="42"/>
      <c r="B61" s="168" t="s">
        <v>484</v>
      </c>
      <c r="C61" s="169" t="s">
        <v>483</v>
      </c>
      <c r="D61" s="170" t="s">
        <v>26</v>
      </c>
      <c r="E61" s="171"/>
      <c r="F61" s="172"/>
      <c r="G61" s="172"/>
      <c r="H61" s="172"/>
      <c r="I61" s="188">
        <v>500</v>
      </c>
      <c r="J61" s="189">
        <f>J62</f>
        <v>0</v>
      </c>
      <c r="K61" s="189">
        <f>K62</f>
        <v>500</v>
      </c>
      <c r="L61" s="172">
        <f>F61+I61</f>
        <v>500</v>
      </c>
      <c r="M61" s="172">
        <f>G61+J61</f>
        <v>0</v>
      </c>
      <c r="N61" s="172">
        <f>N62</f>
        <v>500</v>
      </c>
      <c r="O61" s="178">
        <f t="shared" si="2"/>
        <v>500</v>
      </c>
      <c r="P61" s="92">
        <f t="shared" si="3"/>
        <v>0</v>
      </c>
    </row>
    <row r="62" spans="1:18" ht="31.5" x14ac:dyDescent="0.2">
      <c r="A62" s="42"/>
      <c r="B62" s="168" t="s">
        <v>74</v>
      </c>
      <c r="C62" s="169" t="s">
        <v>483</v>
      </c>
      <c r="D62" s="170" t="s">
        <v>75</v>
      </c>
      <c r="E62" s="171"/>
      <c r="F62" s="172"/>
      <c r="G62" s="172"/>
      <c r="H62" s="172"/>
      <c r="I62" s="188">
        <v>500</v>
      </c>
      <c r="J62" s="189"/>
      <c r="K62" s="188">
        <f>SUM(I62:J62)</f>
        <v>500</v>
      </c>
      <c r="L62" s="172">
        <f>F62+I62</f>
        <v>500</v>
      </c>
      <c r="M62" s="172">
        <f>G62+J62</f>
        <v>0</v>
      </c>
      <c r="N62" s="273">
        <f>SUM(L62:M62)</f>
        <v>500</v>
      </c>
      <c r="O62" s="178">
        <f t="shared" si="2"/>
        <v>500</v>
      </c>
      <c r="P62" s="92">
        <f t="shared" si="3"/>
        <v>0</v>
      </c>
    </row>
    <row r="63" spans="1:18" ht="33" customHeight="1" x14ac:dyDescent="0.2">
      <c r="A63" s="42"/>
      <c r="B63" s="168" t="s">
        <v>80</v>
      </c>
      <c r="C63" s="169" t="s">
        <v>81</v>
      </c>
      <c r="D63" s="170" t="s">
        <v>26</v>
      </c>
      <c r="E63" s="171"/>
      <c r="F63" s="172">
        <f>F64</f>
        <v>626.1</v>
      </c>
      <c r="G63" s="172">
        <f>G64</f>
        <v>0</v>
      </c>
      <c r="H63" s="172">
        <f>H64</f>
        <v>626.1</v>
      </c>
      <c r="I63" s="188">
        <f>I64</f>
        <v>3846.2</v>
      </c>
      <c r="J63" s="189"/>
      <c r="K63" s="188">
        <f>K64</f>
        <v>3846.2</v>
      </c>
      <c r="L63" s="254">
        <f>L64</f>
        <v>4472.3</v>
      </c>
      <c r="M63" s="172">
        <f>M64</f>
        <v>0</v>
      </c>
      <c r="N63" s="172">
        <f>N64</f>
        <v>4472.3</v>
      </c>
      <c r="O63" s="178">
        <f t="shared" si="2"/>
        <v>4472.3</v>
      </c>
      <c r="P63" s="92">
        <f t="shared" si="3"/>
        <v>0</v>
      </c>
    </row>
    <row r="64" spans="1:18" ht="31.5" x14ac:dyDescent="0.2">
      <c r="A64" s="42"/>
      <c r="B64" s="168" t="s">
        <v>74</v>
      </c>
      <c r="C64" s="169" t="s">
        <v>81</v>
      </c>
      <c r="D64" s="170" t="s">
        <v>75</v>
      </c>
      <c r="E64" s="171"/>
      <c r="F64" s="172">
        <v>626.1</v>
      </c>
      <c r="G64" s="172"/>
      <c r="H64" s="172">
        <v>626.1</v>
      </c>
      <c r="I64" s="188">
        <v>3846.2</v>
      </c>
      <c r="J64" s="189"/>
      <c r="K64" s="188">
        <v>3846.2</v>
      </c>
      <c r="L64" s="254">
        <f>F64+I64</f>
        <v>4472.3</v>
      </c>
      <c r="M64" s="172">
        <f>SUM(G64)</f>
        <v>0</v>
      </c>
      <c r="N64" s="172">
        <f>H64+K64</f>
        <v>4472.3</v>
      </c>
      <c r="O64" s="178">
        <f t="shared" si="2"/>
        <v>4472.3</v>
      </c>
      <c r="P64" s="92">
        <f t="shared" si="3"/>
        <v>0</v>
      </c>
    </row>
    <row r="65" spans="1:16" ht="18.75" x14ac:dyDescent="0.2">
      <c r="A65" s="42"/>
      <c r="B65" s="168" t="s">
        <v>82</v>
      </c>
      <c r="C65" s="169" t="s">
        <v>83</v>
      </c>
      <c r="D65" s="170"/>
      <c r="E65" s="171"/>
      <c r="F65" s="172">
        <v>254.4</v>
      </c>
      <c r="G65" s="172"/>
      <c r="H65" s="172">
        <v>254.4</v>
      </c>
      <c r="I65" s="188">
        <v>1562.5</v>
      </c>
      <c r="J65" s="189"/>
      <c r="K65" s="188">
        <v>1562.5</v>
      </c>
      <c r="L65" s="172">
        <f>254.4+I65</f>
        <v>1816.9</v>
      </c>
      <c r="M65" s="172"/>
      <c r="N65" s="273">
        <f>254.4+K65</f>
        <v>1816.9</v>
      </c>
      <c r="O65" s="178">
        <f t="shared" si="2"/>
        <v>1816.9</v>
      </c>
      <c r="P65" s="92">
        <f t="shared" si="3"/>
        <v>0</v>
      </c>
    </row>
    <row r="66" spans="1:16" ht="21" customHeight="1" x14ac:dyDescent="0.2">
      <c r="A66" s="42"/>
      <c r="B66" s="168" t="s">
        <v>84</v>
      </c>
      <c r="C66" s="169" t="s">
        <v>85</v>
      </c>
      <c r="D66" s="170"/>
      <c r="E66" s="171"/>
      <c r="F66" s="172">
        <v>254.4</v>
      </c>
      <c r="G66" s="172"/>
      <c r="H66" s="172">
        <v>254.4</v>
      </c>
      <c r="I66" s="188">
        <v>1562.5</v>
      </c>
      <c r="J66" s="189"/>
      <c r="K66" s="188">
        <v>1562.5</v>
      </c>
      <c r="L66" s="172">
        <f>254.4+I66</f>
        <v>1816.9</v>
      </c>
      <c r="M66" s="172"/>
      <c r="N66" s="273">
        <f>254.4+K66</f>
        <v>1816.9</v>
      </c>
      <c r="O66" s="178">
        <f t="shared" si="2"/>
        <v>1816.9</v>
      </c>
      <c r="P66" s="92">
        <f t="shared" si="3"/>
        <v>0</v>
      </c>
    </row>
    <row r="67" spans="1:16" ht="31.5" x14ac:dyDescent="0.2">
      <c r="A67" s="42"/>
      <c r="B67" s="168" t="s">
        <v>74</v>
      </c>
      <c r="C67" s="169" t="s">
        <v>83</v>
      </c>
      <c r="D67" s="170" t="s">
        <v>75</v>
      </c>
      <c r="E67" s="171"/>
      <c r="F67" s="172">
        <v>254.4</v>
      </c>
      <c r="G67" s="172"/>
      <c r="H67" s="172">
        <v>254.4</v>
      </c>
      <c r="I67" s="188">
        <v>1562.5</v>
      </c>
      <c r="J67" s="189"/>
      <c r="K67" s="188">
        <v>1562.5</v>
      </c>
      <c r="L67" s="172">
        <f>254.4+I67</f>
        <v>1816.9</v>
      </c>
      <c r="M67" s="172"/>
      <c r="N67" s="273">
        <f>254.4+K67</f>
        <v>1816.9</v>
      </c>
      <c r="O67" s="178">
        <f t="shared" si="2"/>
        <v>1816.9</v>
      </c>
      <c r="P67" s="92">
        <f t="shared" si="3"/>
        <v>0</v>
      </c>
    </row>
    <row r="68" spans="1:16" ht="36" customHeight="1" x14ac:dyDescent="0.2">
      <c r="A68" s="42"/>
      <c r="B68" s="168" t="s">
        <v>86</v>
      </c>
      <c r="C68" s="169" t="s">
        <v>87</v>
      </c>
      <c r="D68" s="170" t="s">
        <v>26</v>
      </c>
      <c r="E68" s="171"/>
      <c r="F68" s="172">
        <f>F69</f>
        <v>11262.1</v>
      </c>
      <c r="G68" s="172">
        <f>G69</f>
        <v>0</v>
      </c>
      <c r="H68" s="172">
        <f>H69</f>
        <v>11262.1</v>
      </c>
      <c r="I68" s="188">
        <f>I69</f>
        <v>0</v>
      </c>
      <c r="J68" s="189"/>
      <c r="K68" s="188">
        <f>K69</f>
        <v>0</v>
      </c>
      <c r="L68" s="172">
        <f>L69</f>
        <v>11262.1</v>
      </c>
      <c r="M68" s="172">
        <f>M69</f>
        <v>0</v>
      </c>
      <c r="N68" s="273">
        <f>N69</f>
        <v>11262.1</v>
      </c>
      <c r="O68" s="178">
        <f t="shared" si="2"/>
        <v>11262.1</v>
      </c>
      <c r="P68" s="92">
        <f t="shared" si="3"/>
        <v>0</v>
      </c>
    </row>
    <row r="69" spans="1:16" ht="31.5" x14ac:dyDescent="0.2">
      <c r="A69" s="42"/>
      <c r="B69" s="168" t="s">
        <v>39</v>
      </c>
      <c r="C69" s="169" t="s">
        <v>88</v>
      </c>
      <c r="D69" s="170" t="s">
        <v>26</v>
      </c>
      <c r="E69" s="171"/>
      <c r="F69" s="172">
        <f>F70+F71+F72</f>
        <v>11262.1</v>
      </c>
      <c r="G69" s="172">
        <f>G70+G71+G72</f>
        <v>0</v>
      </c>
      <c r="H69" s="172">
        <f>H70+H71+H72</f>
        <v>11262.1</v>
      </c>
      <c r="I69" s="188">
        <f>I70+I71+I72</f>
        <v>0</v>
      </c>
      <c r="J69" s="189"/>
      <c r="K69" s="188">
        <f>K70+K71+K72</f>
        <v>0</v>
      </c>
      <c r="L69" s="172">
        <f>L70+L71+L72</f>
        <v>11262.1</v>
      </c>
      <c r="M69" s="172">
        <f>M70+M71+M72</f>
        <v>0</v>
      </c>
      <c r="N69" s="273">
        <f>N70+N71+N72</f>
        <v>11262.1</v>
      </c>
      <c r="O69" s="178">
        <f t="shared" si="2"/>
        <v>11262.1</v>
      </c>
      <c r="P69" s="92">
        <f t="shared" si="3"/>
        <v>0</v>
      </c>
    </row>
    <row r="70" spans="1:16" ht="70.150000000000006" customHeight="1" x14ac:dyDescent="0.2">
      <c r="A70" s="42"/>
      <c r="B70" s="168" t="s">
        <v>31</v>
      </c>
      <c r="C70" s="169" t="s">
        <v>88</v>
      </c>
      <c r="D70" s="170" t="s">
        <v>32</v>
      </c>
      <c r="E70" s="171"/>
      <c r="F70" s="172">
        <v>9834.1</v>
      </c>
      <c r="G70" s="172"/>
      <c r="H70" s="172">
        <f>SUM(F70)+G70</f>
        <v>9834.1</v>
      </c>
      <c r="I70" s="188">
        <v>0</v>
      </c>
      <c r="J70" s="189"/>
      <c r="K70" s="188">
        <v>0</v>
      </c>
      <c r="L70" s="172">
        <f t="shared" ref="L70:N71" si="12">SUM(F70)</f>
        <v>9834.1</v>
      </c>
      <c r="M70" s="172">
        <f t="shared" si="12"/>
        <v>0</v>
      </c>
      <c r="N70" s="172">
        <f t="shared" si="12"/>
        <v>9834.1</v>
      </c>
      <c r="O70" s="178">
        <f t="shared" si="2"/>
        <v>9834.1</v>
      </c>
      <c r="P70" s="92">
        <f t="shared" si="3"/>
        <v>0</v>
      </c>
    </row>
    <row r="71" spans="1:16" ht="31.5" x14ac:dyDescent="0.2">
      <c r="A71" s="42"/>
      <c r="B71" s="168" t="s">
        <v>35</v>
      </c>
      <c r="C71" s="169" t="s">
        <v>88</v>
      </c>
      <c r="D71" s="170" t="s">
        <v>36</v>
      </c>
      <c r="E71" s="171"/>
      <c r="F71" s="172">
        <v>1426.9</v>
      </c>
      <c r="G71" s="172"/>
      <c r="H71" s="172">
        <f>SUM(F71)</f>
        <v>1426.9</v>
      </c>
      <c r="I71" s="188">
        <v>0</v>
      </c>
      <c r="J71" s="189"/>
      <c r="K71" s="188">
        <v>0</v>
      </c>
      <c r="L71" s="172">
        <f t="shared" si="12"/>
        <v>1426.9</v>
      </c>
      <c r="M71" s="172">
        <f t="shared" si="12"/>
        <v>0</v>
      </c>
      <c r="N71" s="172">
        <f t="shared" si="12"/>
        <v>1426.9</v>
      </c>
      <c r="O71" s="178">
        <f t="shared" si="2"/>
        <v>1426.9</v>
      </c>
      <c r="P71" s="92">
        <f t="shared" si="3"/>
        <v>0</v>
      </c>
    </row>
    <row r="72" spans="1:16" ht="18.75" x14ac:dyDescent="0.2">
      <c r="A72" s="42"/>
      <c r="B72" s="168" t="s">
        <v>41</v>
      </c>
      <c r="C72" s="169" t="s">
        <v>88</v>
      </c>
      <c r="D72" s="170" t="s">
        <v>42</v>
      </c>
      <c r="E72" s="171"/>
      <c r="F72" s="172">
        <v>1.1000000000000001</v>
      </c>
      <c r="G72" s="172"/>
      <c r="H72" s="172">
        <v>1.1000000000000001</v>
      </c>
      <c r="I72" s="188">
        <v>0</v>
      </c>
      <c r="J72" s="189"/>
      <c r="K72" s="188">
        <v>0</v>
      </c>
      <c r="L72" s="172">
        <v>1.1000000000000001</v>
      </c>
      <c r="M72" s="172"/>
      <c r="N72" s="172">
        <v>1.1000000000000001</v>
      </c>
      <c r="O72" s="178">
        <f t="shared" si="2"/>
        <v>1.1000000000000001</v>
      </c>
      <c r="P72" s="92">
        <f t="shared" si="3"/>
        <v>0</v>
      </c>
    </row>
    <row r="73" spans="1:16" ht="31.5" x14ac:dyDescent="0.2">
      <c r="A73" s="49"/>
      <c r="B73" s="190" t="s">
        <v>89</v>
      </c>
      <c r="C73" s="191" t="s">
        <v>90</v>
      </c>
      <c r="D73" s="192" t="s">
        <v>26</v>
      </c>
      <c r="E73" s="193"/>
      <c r="F73" s="194">
        <f t="shared" ref="F73:N74" si="13">F74</f>
        <v>3138</v>
      </c>
      <c r="G73" s="194">
        <f t="shared" si="13"/>
        <v>0</v>
      </c>
      <c r="H73" s="194">
        <f t="shared" si="13"/>
        <v>3138</v>
      </c>
      <c r="I73" s="195">
        <f t="shared" si="13"/>
        <v>0</v>
      </c>
      <c r="J73" s="194">
        <f t="shared" si="13"/>
        <v>0</v>
      </c>
      <c r="K73" s="195">
        <f t="shared" si="13"/>
        <v>0</v>
      </c>
      <c r="L73" s="194">
        <f t="shared" si="13"/>
        <v>3138</v>
      </c>
      <c r="M73" s="194">
        <f t="shared" si="13"/>
        <v>0</v>
      </c>
      <c r="N73" s="272">
        <f t="shared" si="13"/>
        <v>3138</v>
      </c>
      <c r="O73" s="178">
        <f t="shared" si="2"/>
        <v>3138</v>
      </c>
      <c r="P73" s="92">
        <f t="shared" si="3"/>
        <v>0</v>
      </c>
    </row>
    <row r="74" spans="1:16" ht="31.5" x14ac:dyDescent="0.2">
      <c r="A74" s="42"/>
      <c r="B74" s="168" t="s">
        <v>91</v>
      </c>
      <c r="C74" s="169" t="s">
        <v>92</v>
      </c>
      <c r="D74" s="170" t="s">
        <v>26</v>
      </c>
      <c r="E74" s="171"/>
      <c r="F74" s="172">
        <f>F75+F81</f>
        <v>3138</v>
      </c>
      <c r="G74" s="172">
        <f>G75+G81</f>
        <v>0</v>
      </c>
      <c r="H74" s="172">
        <f>H75+H81</f>
        <v>3138</v>
      </c>
      <c r="I74" s="188">
        <f t="shared" si="13"/>
        <v>0</v>
      </c>
      <c r="J74" s="189"/>
      <c r="K74" s="188">
        <f t="shared" si="13"/>
        <v>0</v>
      </c>
      <c r="L74" s="172">
        <f>L75+L81</f>
        <v>3138</v>
      </c>
      <c r="M74" s="172">
        <f>M75+G74</f>
        <v>0</v>
      </c>
      <c r="N74" s="172">
        <f>N75+N81</f>
        <v>3138</v>
      </c>
      <c r="O74" s="178">
        <f t="shared" si="2"/>
        <v>3138</v>
      </c>
      <c r="P74" s="92">
        <f t="shared" si="3"/>
        <v>0</v>
      </c>
    </row>
    <row r="75" spans="1:16" ht="31.5" x14ac:dyDescent="0.2">
      <c r="A75" s="42"/>
      <c r="B75" s="168" t="s">
        <v>93</v>
      </c>
      <c r="C75" s="169" t="s">
        <v>94</v>
      </c>
      <c r="D75" s="170" t="s">
        <v>26</v>
      </c>
      <c r="E75" s="171"/>
      <c r="F75" s="172">
        <f>F76+F79+F80</f>
        <v>2090.6</v>
      </c>
      <c r="G75" s="172">
        <f>G76+G79+G80</f>
        <v>0</v>
      </c>
      <c r="H75" s="172">
        <f>H76+H79+H80</f>
        <v>2090.6</v>
      </c>
      <c r="I75" s="188">
        <f>I76+I79</f>
        <v>0</v>
      </c>
      <c r="J75" s="189"/>
      <c r="K75" s="188">
        <f>K76+K79</f>
        <v>0</v>
      </c>
      <c r="L75" s="172">
        <f>L76+L79+L80</f>
        <v>2090.6</v>
      </c>
      <c r="M75" s="172">
        <f>M76+M79+M80</f>
        <v>0</v>
      </c>
      <c r="N75" s="172">
        <f>N76+N79+N80</f>
        <v>2090.6</v>
      </c>
      <c r="O75" s="178">
        <f t="shared" si="2"/>
        <v>2090.6</v>
      </c>
      <c r="P75" s="92">
        <f t="shared" si="3"/>
        <v>0</v>
      </c>
    </row>
    <row r="76" spans="1:16" ht="64.5" customHeight="1" x14ac:dyDescent="0.2">
      <c r="A76" s="42"/>
      <c r="B76" s="168" t="s">
        <v>31</v>
      </c>
      <c r="C76" s="169" t="s">
        <v>94</v>
      </c>
      <c r="D76" s="170" t="s">
        <v>32</v>
      </c>
      <c r="E76" s="171"/>
      <c r="F76" s="172">
        <v>2080.1</v>
      </c>
      <c r="G76" s="172"/>
      <c r="H76" s="172">
        <f>SUM(F76)+G76</f>
        <v>2080.1</v>
      </c>
      <c r="I76" s="188">
        <v>0</v>
      </c>
      <c r="J76" s="189"/>
      <c r="K76" s="188">
        <v>0</v>
      </c>
      <c r="L76" s="172">
        <f t="shared" ref="L76:N80" si="14">SUM(F76)</f>
        <v>2080.1</v>
      </c>
      <c r="M76" s="172">
        <f t="shared" si="14"/>
        <v>0</v>
      </c>
      <c r="N76" s="172">
        <f t="shared" si="14"/>
        <v>2080.1</v>
      </c>
      <c r="O76" s="178">
        <f t="shared" si="2"/>
        <v>2080.1</v>
      </c>
      <c r="P76" s="92">
        <f t="shared" si="3"/>
        <v>0</v>
      </c>
    </row>
    <row r="77" spans="1:16" ht="66" hidden="1" customHeight="1" x14ac:dyDescent="0.2">
      <c r="A77" s="42"/>
      <c r="B77" s="168" t="s">
        <v>502</v>
      </c>
      <c r="C77" s="169" t="s">
        <v>505</v>
      </c>
      <c r="D77" s="170"/>
      <c r="E77" s="171"/>
      <c r="F77" s="172"/>
      <c r="G77" s="172"/>
      <c r="H77" s="172"/>
      <c r="I77" s="188"/>
      <c r="J77" s="189"/>
      <c r="K77" s="188"/>
      <c r="L77" s="172"/>
      <c r="M77" s="172"/>
      <c r="N77" s="172"/>
      <c r="O77" s="178"/>
      <c r="P77" s="92"/>
    </row>
    <row r="78" spans="1:16" ht="66" hidden="1" customHeight="1" x14ac:dyDescent="0.2">
      <c r="A78" s="42"/>
      <c r="B78" s="168" t="s">
        <v>31</v>
      </c>
      <c r="C78" s="169" t="s">
        <v>505</v>
      </c>
      <c r="D78" s="170" t="s">
        <v>32</v>
      </c>
      <c r="E78" s="171"/>
      <c r="F78" s="172"/>
      <c r="G78" s="172"/>
      <c r="H78" s="172"/>
      <c r="I78" s="188"/>
      <c r="J78" s="189"/>
      <c r="K78" s="188"/>
      <c r="L78" s="172"/>
      <c r="M78" s="172"/>
      <c r="N78" s="172"/>
      <c r="O78" s="178"/>
      <c r="P78" s="92"/>
    </row>
    <row r="79" spans="1:16" ht="31.5" x14ac:dyDescent="0.2">
      <c r="A79" s="42"/>
      <c r="B79" s="168" t="s">
        <v>35</v>
      </c>
      <c r="C79" s="169" t="s">
        <v>94</v>
      </c>
      <c r="D79" s="170" t="s">
        <v>36</v>
      </c>
      <c r="E79" s="171"/>
      <c r="F79" s="172">
        <v>9.5</v>
      </c>
      <c r="G79" s="172"/>
      <c r="H79" s="172">
        <f>SUM(F79)</f>
        <v>9.5</v>
      </c>
      <c r="I79" s="188">
        <v>0</v>
      </c>
      <c r="J79" s="189"/>
      <c r="K79" s="188">
        <v>0</v>
      </c>
      <c r="L79" s="172">
        <f t="shared" si="14"/>
        <v>9.5</v>
      </c>
      <c r="M79" s="172">
        <f t="shared" si="14"/>
        <v>0</v>
      </c>
      <c r="N79" s="172">
        <f t="shared" si="14"/>
        <v>9.5</v>
      </c>
      <c r="O79" s="178">
        <f t="shared" si="2"/>
        <v>9.5</v>
      </c>
      <c r="P79" s="92">
        <f t="shared" si="3"/>
        <v>0</v>
      </c>
    </row>
    <row r="80" spans="1:16" ht="18.75" x14ac:dyDescent="0.2">
      <c r="A80" s="42"/>
      <c r="B80" s="168" t="s">
        <v>41</v>
      </c>
      <c r="C80" s="169" t="s">
        <v>94</v>
      </c>
      <c r="D80" s="170" t="s">
        <v>42</v>
      </c>
      <c r="E80" s="171"/>
      <c r="F80" s="172">
        <v>1</v>
      </c>
      <c r="G80" s="172"/>
      <c r="H80" s="172">
        <f>SUM(F80)+G80</f>
        <v>1</v>
      </c>
      <c r="I80" s="188"/>
      <c r="J80" s="189"/>
      <c r="K80" s="188"/>
      <c r="L80" s="172">
        <f t="shared" si="14"/>
        <v>1</v>
      </c>
      <c r="M80" s="172">
        <f t="shared" si="14"/>
        <v>0</v>
      </c>
      <c r="N80" s="172">
        <f t="shared" si="14"/>
        <v>1</v>
      </c>
      <c r="O80" s="178">
        <f t="shared" si="2"/>
        <v>1</v>
      </c>
      <c r="P80" s="92">
        <f t="shared" si="3"/>
        <v>0</v>
      </c>
    </row>
    <row r="81" spans="1:17" ht="78.75" x14ac:dyDescent="0.2">
      <c r="A81" s="42"/>
      <c r="B81" s="168" t="s">
        <v>502</v>
      </c>
      <c r="C81" s="169" t="s">
        <v>505</v>
      </c>
      <c r="D81" s="170"/>
      <c r="E81" s="171"/>
      <c r="F81" s="172">
        <f>SUM(F82)</f>
        <v>1047.4000000000001</v>
      </c>
      <c r="G81" s="172"/>
      <c r="H81" s="172">
        <v>1047.4000000000001</v>
      </c>
      <c r="I81" s="188"/>
      <c r="J81" s="189"/>
      <c r="K81" s="188"/>
      <c r="L81" s="172">
        <f t="shared" ref="L81:N82" si="15">SUM(F81)</f>
        <v>1047.4000000000001</v>
      </c>
      <c r="M81" s="172">
        <f t="shared" si="15"/>
        <v>0</v>
      </c>
      <c r="N81" s="172">
        <f t="shared" si="15"/>
        <v>1047.4000000000001</v>
      </c>
      <c r="O81" s="178"/>
      <c r="P81" s="92"/>
    </row>
    <row r="82" spans="1:17" ht="63" x14ac:dyDescent="0.2">
      <c r="A82" s="42"/>
      <c r="B82" s="168" t="s">
        <v>31</v>
      </c>
      <c r="C82" s="169" t="s">
        <v>505</v>
      </c>
      <c r="D82" s="170" t="s">
        <v>32</v>
      </c>
      <c r="E82" s="171"/>
      <c r="F82" s="172">
        <v>1047.4000000000001</v>
      </c>
      <c r="G82" s="172"/>
      <c r="H82" s="172">
        <f>SUM(G82)+F82</f>
        <v>1047.4000000000001</v>
      </c>
      <c r="I82" s="188"/>
      <c r="J82" s="189"/>
      <c r="K82" s="188"/>
      <c r="L82" s="172">
        <f t="shared" si="15"/>
        <v>1047.4000000000001</v>
      </c>
      <c r="M82" s="172">
        <f t="shared" si="15"/>
        <v>0</v>
      </c>
      <c r="N82" s="172">
        <f t="shared" si="15"/>
        <v>1047.4000000000001</v>
      </c>
      <c r="O82" s="178"/>
      <c r="P82" s="92"/>
    </row>
    <row r="83" spans="1:17" ht="31.5" x14ac:dyDescent="0.2">
      <c r="A83" s="19" t="s">
        <v>95</v>
      </c>
      <c r="B83" s="182" t="s">
        <v>96</v>
      </c>
      <c r="C83" s="183" t="s">
        <v>97</v>
      </c>
      <c r="D83" s="184" t="s">
        <v>26</v>
      </c>
      <c r="E83" s="185"/>
      <c r="F83" s="186">
        <f t="shared" ref="F83:N83" si="16">F84+F91</f>
        <v>56285.7</v>
      </c>
      <c r="G83" s="186">
        <f t="shared" si="16"/>
        <v>349.8</v>
      </c>
      <c r="H83" s="186">
        <f t="shared" si="16"/>
        <v>56635.5</v>
      </c>
      <c r="I83" s="187">
        <f t="shared" si="16"/>
        <v>0</v>
      </c>
      <c r="J83" s="186">
        <f t="shared" si="16"/>
        <v>0</v>
      </c>
      <c r="K83" s="187">
        <f t="shared" si="16"/>
        <v>0</v>
      </c>
      <c r="L83" s="186">
        <f t="shared" si="16"/>
        <v>56285.7</v>
      </c>
      <c r="M83" s="271">
        <f t="shared" si="16"/>
        <v>349.8</v>
      </c>
      <c r="N83" s="186">
        <f t="shared" si="16"/>
        <v>56635.5</v>
      </c>
      <c r="O83" s="178">
        <f t="shared" si="2"/>
        <v>56635.5</v>
      </c>
      <c r="P83" s="92">
        <f t="shared" si="3"/>
        <v>0</v>
      </c>
    </row>
    <row r="84" spans="1:17" ht="31.5" x14ac:dyDescent="0.2">
      <c r="A84" s="49"/>
      <c r="B84" s="190" t="s">
        <v>98</v>
      </c>
      <c r="C84" s="191" t="s">
        <v>99</v>
      </c>
      <c r="D84" s="192" t="s">
        <v>26</v>
      </c>
      <c r="E84" s="193"/>
      <c r="F84" s="194">
        <f t="shared" ref="F84:N84" si="17">F85+F88</f>
        <v>55755.7</v>
      </c>
      <c r="G84" s="194">
        <f t="shared" si="17"/>
        <v>349.8</v>
      </c>
      <c r="H84" s="194">
        <f t="shared" si="17"/>
        <v>56105.5</v>
      </c>
      <c r="I84" s="195">
        <f t="shared" si="17"/>
        <v>0</v>
      </c>
      <c r="J84" s="194">
        <f t="shared" si="17"/>
        <v>0</v>
      </c>
      <c r="K84" s="195">
        <f t="shared" si="17"/>
        <v>0</v>
      </c>
      <c r="L84" s="194">
        <f t="shared" si="17"/>
        <v>55755.7</v>
      </c>
      <c r="M84" s="194">
        <f t="shared" si="17"/>
        <v>349.8</v>
      </c>
      <c r="N84" s="194">
        <f t="shared" si="17"/>
        <v>56105.5</v>
      </c>
      <c r="O84" s="178">
        <f t="shared" si="2"/>
        <v>56105.5</v>
      </c>
      <c r="P84" s="92">
        <f t="shared" si="3"/>
        <v>0</v>
      </c>
    </row>
    <row r="85" spans="1:17" ht="31.5" x14ac:dyDescent="0.2">
      <c r="A85" s="42"/>
      <c r="B85" s="168" t="s">
        <v>100</v>
      </c>
      <c r="C85" s="169" t="s">
        <v>101</v>
      </c>
      <c r="D85" s="170" t="s">
        <v>26</v>
      </c>
      <c r="E85" s="171"/>
      <c r="F85" s="172">
        <f t="shared" ref="F85:N86" si="18">F86</f>
        <v>51483</v>
      </c>
      <c r="G85" s="172">
        <f t="shared" si="18"/>
        <v>297</v>
      </c>
      <c r="H85" s="172">
        <f t="shared" si="18"/>
        <v>51780</v>
      </c>
      <c r="I85" s="188">
        <f t="shared" si="18"/>
        <v>0</v>
      </c>
      <c r="J85" s="189"/>
      <c r="K85" s="188">
        <f t="shared" si="18"/>
        <v>0</v>
      </c>
      <c r="L85" s="172">
        <f t="shared" si="18"/>
        <v>51483</v>
      </c>
      <c r="M85" s="172">
        <f t="shared" si="18"/>
        <v>297</v>
      </c>
      <c r="N85" s="172">
        <f t="shared" si="18"/>
        <v>51780</v>
      </c>
      <c r="O85" s="178">
        <f t="shared" ref="O85:O148" si="19">L85+M85</f>
        <v>51780</v>
      </c>
      <c r="P85" s="92">
        <f t="shared" ref="P85:P148" si="20">O85-N85</f>
        <v>0</v>
      </c>
    </row>
    <row r="86" spans="1:17" ht="18.75" x14ac:dyDescent="0.2">
      <c r="A86" s="42"/>
      <c r="B86" s="168" t="s">
        <v>102</v>
      </c>
      <c r="C86" s="169" t="s">
        <v>103</v>
      </c>
      <c r="D86" s="170" t="s">
        <v>26</v>
      </c>
      <c r="E86" s="171"/>
      <c r="F86" s="172">
        <f t="shared" si="18"/>
        <v>51483</v>
      </c>
      <c r="G86" s="172">
        <f t="shared" si="18"/>
        <v>297</v>
      </c>
      <c r="H86" s="172">
        <f t="shared" si="18"/>
        <v>51780</v>
      </c>
      <c r="I86" s="188">
        <f t="shared" si="18"/>
        <v>0</v>
      </c>
      <c r="J86" s="189"/>
      <c r="K86" s="188">
        <f t="shared" si="18"/>
        <v>0</v>
      </c>
      <c r="L86" s="172">
        <f t="shared" si="18"/>
        <v>51483</v>
      </c>
      <c r="M86" s="172">
        <f t="shared" si="18"/>
        <v>297</v>
      </c>
      <c r="N86" s="172">
        <f t="shared" si="18"/>
        <v>51780</v>
      </c>
      <c r="O86" s="178">
        <f t="shared" si="19"/>
        <v>51780</v>
      </c>
      <c r="P86" s="92">
        <f t="shared" si="20"/>
        <v>0</v>
      </c>
    </row>
    <row r="87" spans="1:17" ht="18.75" x14ac:dyDescent="0.2">
      <c r="A87" s="42"/>
      <c r="B87" s="168" t="s">
        <v>54</v>
      </c>
      <c r="C87" s="169" t="s">
        <v>103</v>
      </c>
      <c r="D87" s="170" t="s">
        <v>55</v>
      </c>
      <c r="E87" s="171"/>
      <c r="F87" s="172">
        <v>51483</v>
      </c>
      <c r="G87" s="172">
        <f>297</f>
        <v>297</v>
      </c>
      <c r="H87" s="172">
        <f>SUM(F87)+G87</f>
        <v>51780</v>
      </c>
      <c r="I87" s="188">
        <v>0</v>
      </c>
      <c r="J87" s="189"/>
      <c r="K87" s="188">
        <v>0</v>
      </c>
      <c r="L87" s="172">
        <f>SUM(F87)</f>
        <v>51483</v>
      </c>
      <c r="M87" s="172">
        <f>SUM(G87)</f>
        <v>297</v>
      </c>
      <c r="N87" s="172">
        <f>SUM(H87)</f>
        <v>51780</v>
      </c>
      <c r="O87" s="178">
        <f t="shared" si="19"/>
        <v>51780</v>
      </c>
      <c r="P87" s="92">
        <f t="shared" si="20"/>
        <v>0</v>
      </c>
    </row>
    <row r="88" spans="1:17" ht="54.75" customHeight="1" x14ac:dyDescent="0.2">
      <c r="A88" s="42"/>
      <c r="B88" s="168" t="s">
        <v>104</v>
      </c>
      <c r="C88" s="169" t="s">
        <v>105</v>
      </c>
      <c r="D88" s="170" t="s">
        <v>26</v>
      </c>
      <c r="E88" s="171"/>
      <c r="F88" s="172">
        <f t="shared" ref="F88:N89" si="21">F89</f>
        <v>4272.7</v>
      </c>
      <c r="G88" s="172">
        <f t="shared" si="21"/>
        <v>52.8</v>
      </c>
      <c r="H88" s="172">
        <f t="shared" si="21"/>
        <v>4325.5</v>
      </c>
      <c r="I88" s="188">
        <f t="shared" si="21"/>
        <v>0</v>
      </c>
      <c r="J88" s="189"/>
      <c r="K88" s="188">
        <f t="shared" si="21"/>
        <v>0</v>
      </c>
      <c r="L88" s="172">
        <f t="shared" si="21"/>
        <v>4272.7</v>
      </c>
      <c r="M88" s="172">
        <f t="shared" si="21"/>
        <v>52.8</v>
      </c>
      <c r="N88" s="172">
        <f t="shared" si="21"/>
        <v>4325.5</v>
      </c>
      <c r="O88" s="178">
        <f t="shared" si="19"/>
        <v>4325.5</v>
      </c>
      <c r="P88" s="92">
        <f t="shared" si="20"/>
        <v>0</v>
      </c>
    </row>
    <row r="89" spans="1:17" ht="31.5" x14ac:dyDescent="0.2">
      <c r="A89" s="42"/>
      <c r="B89" s="168" t="s">
        <v>106</v>
      </c>
      <c r="C89" s="169" t="s">
        <v>107</v>
      </c>
      <c r="D89" s="170" t="s">
        <v>26</v>
      </c>
      <c r="E89" s="171"/>
      <c r="F89" s="172">
        <f t="shared" si="21"/>
        <v>4272.7</v>
      </c>
      <c r="G89" s="172">
        <f t="shared" si="21"/>
        <v>52.8</v>
      </c>
      <c r="H89" s="172">
        <f t="shared" si="21"/>
        <v>4325.5</v>
      </c>
      <c r="I89" s="188">
        <f t="shared" si="21"/>
        <v>0</v>
      </c>
      <c r="J89" s="189"/>
      <c r="K89" s="188">
        <f t="shared" si="21"/>
        <v>0</v>
      </c>
      <c r="L89" s="172">
        <f t="shared" si="21"/>
        <v>4272.7</v>
      </c>
      <c r="M89" s="172">
        <f t="shared" si="21"/>
        <v>52.8</v>
      </c>
      <c r="N89" s="172">
        <f t="shared" si="21"/>
        <v>4325.5</v>
      </c>
      <c r="O89" s="178">
        <f t="shared" si="19"/>
        <v>4325.5</v>
      </c>
      <c r="P89" s="92">
        <f t="shared" si="20"/>
        <v>0</v>
      </c>
    </row>
    <row r="90" spans="1:17" ht="18.75" x14ac:dyDescent="0.2">
      <c r="A90" s="42"/>
      <c r="B90" s="168" t="s">
        <v>54</v>
      </c>
      <c r="C90" s="169" t="s">
        <v>107</v>
      </c>
      <c r="D90" s="170" t="s">
        <v>55</v>
      </c>
      <c r="E90" s="171"/>
      <c r="F90" s="172">
        <v>4272.7</v>
      </c>
      <c r="G90" s="172">
        <v>52.8</v>
      </c>
      <c r="H90" s="172">
        <f>F90+G90</f>
        <v>4325.5</v>
      </c>
      <c r="I90" s="188">
        <v>0</v>
      </c>
      <c r="J90" s="189"/>
      <c r="K90" s="188">
        <v>0</v>
      </c>
      <c r="L90" s="172">
        <f>SUM(F90)</f>
        <v>4272.7</v>
      </c>
      <c r="M90" s="172">
        <f>G90+J90</f>
        <v>52.8</v>
      </c>
      <c r="N90" s="172">
        <f>SUM(L90:M90)</f>
        <v>4325.5</v>
      </c>
      <c r="O90" s="178">
        <f t="shared" si="19"/>
        <v>4325.5</v>
      </c>
      <c r="P90" s="92">
        <f t="shared" si="20"/>
        <v>0</v>
      </c>
    </row>
    <row r="91" spans="1:17" ht="37.9" customHeight="1" x14ac:dyDescent="0.2">
      <c r="A91" s="49"/>
      <c r="B91" s="190" t="s">
        <v>108</v>
      </c>
      <c r="C91" s="191" t="s">
        <v>109</v>
      </c>
      <c r="D91" s="192" t="s">
        <v>26</v>
      </c>
      <c r="E91" s="193"/>
      <c r="F91" s="194">
        <f t="shared" ref="F91:N93" si="22">F92</f>
        <v>530</v>
      </c>
      <c r="G91" s="194">
        <f t="shared" si="22"/>
        <v>0</v>
      </c>
      <c r="H91" s="194">
        <f t="shared" si="22"/>
        <v>530</v>
      </c>
      <c r="I91" s="195">
        <f t="shared" si="22"/>
        <v>0</v>
      </c>
      <c r="J91" s="194">
        <f>J92</f>
        <v>0</v>
      </c>
      <c r="K91" s="195">
        <f t="shared" si="22"/>
        <v>0</v>
      </c>
      <c r="L91" s="194">
        <f t="shared" si="22"/>
        <v>530</v>
      </c>
      <c r="M91" s="272">
        <f t="shared" si="22"/>
        <v>0</v>
      </c>
      <c r="N91" s="272">
        <f t="shared" si="22"/>
        <v>530</v>
      </c>
      <c r="O91" s="178">
        <f t="shared" si="19"/>
        <v>530</v>
      </c>
      <c r="P91" s="92">
        <f t="shared" si="20"/>
        <v>0</v>
      </c>
    </row>
    <row r="92" spans="1:17" ht="64.150000000000006" customHeight="1" x14ac:dyDescent="0.2">
      <c r="A92" s="42"/>
      <c r="B92" s="168" t="s">
        <v>110</v>
      </c>
      <c r="C92" s="169" t="s">
        <v>111</v>
      </c>
      <c r="D92" s="170" t="s">
        <v>26</v>
      </c>
      <c r="E92" s="171"/>
      <c r="F92" s="172">
        <f t="shared" si="22"/>
        <v>530</v>
      </c>
      <c r="G92" s="172">
        <f t="shared" si="22"/>
        <v>0</v>
      </c>
      <c r="H92" s="172">
        <f t="shared" si="22"/>
        <v>530</v>
      </c>
      <c r="I92" s="188">
        <f t="shared" si="22"/>
        <v>0</v>
      </c>
      <c r="J92" s="189"/>
      <c r="K92" s="188">
        <f t="shared" si="22"/>
        <v>0</v>
      </c>
      <c r="L92" s="172">
        <f t="shared" si="22"/>
        <v>530</v>
      </c>
      <c r="M92" s="172">
        <f t="shared" si="22"/>
        <v>0</v>
      </c>
      <c r="N92" s="172">
        <f t="shared" si="22"/>
        <v>530</v>
      </c>
      <c r="O92" s="178">
        <f t="shared" si="19"/>
        <v>530</v>
      </c>
      <c r="P92" s="92">
        <f t="shared" si="20"/>
        <v>0</v>
      </c>
    </row>
    <row r="93" spans="1:17" ht="36.6" customHeight="1" x14ac:dyDescent="0.2">
      <c r="A93" s="42"/>
      <c r="B93" s="168" t="s">
        <v>112</v>
      </c>
      <c r="C93" s="169" t="s">
        <v>113</v>
      </c>
      <c r="D93" s="170" t="s">
        <v>26</v>
      </c>
      <c r="E93" s="171"/>
      <c r="F93" s="172">
        <f t="shared" si="22"/>
        <v>530</v>
      </c>
      <c r="G93" s="172">
        <f t="shared" si="22"/>
        <v>0</v>
      </c>
      <c r="H93" s="172">
        <f t="shared" si="22"/>
        <v>530</v>
      </c>
      <c r="I93" s="188">
        <f t="shared" si="22"/>
        <v>0</v>
      </c>
      <c r="J93" s="189"/>
      <c r="K93" s="188">
        <f t="shared" si="22"/>
        <v>0</v>
      </c>
      <c r="L93" s="172">
        <f t="shared" si="22"/>
        <v>530</v>
      </c>
      <c r="M93" s="172">
        <f t="shared" si="22"/>
        <v>0</v>
      </c>
      <c r="N93" s="172">
        <f t="shared" si="22"/>
        <v>530</v>
      </c>
      <c r="O93" s="178">
        <f t="shared" si="19"/>
        <v>530</v>
      </c>
      <c r="P93" s="92">
        <f t="shared" si="20"/>
        <v>0</v>
      </c>
    </row>
    <row r="94" spans="1:17" ht="31.5" x14ac:dyDescent="0.2">
      <c r="A94" s="42"/>
      <c r="B94" s="168" t="s">
        <v>74</v>
      </c>
      <c r="C94" s="169" t="s">
        <v>113</v>
      </c>
      <c r="D94" s="170" t="s">
        <v>75</v>
      </c>
      <c r="E94" s="171"/>
      <c r="F94" s="172">
        <v>530</v>
      </c>
      <c r="G94" s="172"/>
      <c r="H94" s="172">
        <f>F94+G94</f>
        <v>530</v>
      </c>
      <c r="I94" s="188">
        <v>0</v>
      </c>
      <c r="J94" s="189"/>
      <c r="K94" s="188">
        <v>0</v>
      </c>
      <c r="L94" s="172">
        <v>530</v>
      </c>
      <c r="M94" s="172">
        <f>G94+J94</f>
        <v>0</v>
      </c>
      <c r="N94" s="172">
        <f>H94+K94</f>
        <v>530</v>
      </c>
      <c r="O94" s="178">
        <f t="shared" si="19"/>
        <v>530</v>
      </c>
      <c r="P94" s="92">
        <f t="shared" si="20"/>
        <v>0</v>
      </c>
    </row>
    <row r="95" spans="1:17" ht="47.25" x14ac:dyDescent="0.2">
      <c r="A95" s="19" t="s">
        <v>114</v>
      </c>
      <c r="B95" s="182" t="s">
        <v>115</v>
      </c>
      <c r="C95" s="183" t="s">
        <v>116</v>
      </c>
      <c r="D95" s="184" t="s">
        <v>26</v>
      </c>
      <c r="E95" s="185"/>
      <c r="F95" s="186">
        <f t="shared" ref="F95:K95" si="23">F96+F106+F118</f>
        <v>37961.800000000003</v>
      </c>
      <c r="G95" s="186">
        <f>G96+G106+G118</f>
        <v>0</v>
      </c>
      <c r="H95" s="186">
        <f t="shared" si="23"/>
        <v>37961.800000000003</v>
      </c>
      <c r="I95" s="187">
        <f t="shared" si="23"/>
        <v>67252.899999999994</v>
      </c>
      <c r="J95" s="271">
        <f>J96+J106+J118</f>
        <v>0</v>
      </c>
      <c r="K95" s="187">
        <f t="shared" si="23"/>
        <v>67252.899999999994</v>
      </c>
      <c r="L95" s="186">
        <f>SUM(L96+L106+L118)+L135</f>
        <v>105214.7</v>
      </c>
      <c r="M95" s="186">
        <f>M96+M106+M118+M135</f>
        <v>0</v>
      </c>
      <c r="N95" s="186">
        <f>SUM(N96+N106+N118)+N135</f>
        <v>105214.7</v>
      </c>
      <c r="O95" s="178">
        <f t="shared" si="19"/>
        <v>105214.7</v>
      </c>
      <c r="P95" s="92">
        <f t="shared" si="20"/>
        <v>0</v>
      </c>
      <c r="Q95" s="25"/>
    </row>
    <row r="96" spans="1:17" ht="33.6" customHeight="1" x14ac:dyDescent="0.2">
      <c r="A96" s="49"/>
      <c r="B96" s="190" t="s">
        <v>117</v>
      </c>
      <c r="C96" s="191" t="s">
        <v>118</v>
      </c>
      <c r="D96" s="192" t="s">
        <v>26</v>
      </c>
      <c r="E96" s="193"/>
      <c r="F96" s="194">
        <f t="shared" ref="F96:N96" si="24">F97</f>
        <v>1449.1000000000001</v>
      </c>
      <c r="G96" s="194">
        <f t="shared" si="24"/>
        <v>0</v>
      </c>
      <c r="H96" s="194">
        <f t="shared" si="24"/>
        <v>1449.1000000000001</v>
      </c>
      <c r="I96" s="195">
        <f t="shared" si="24"/>
        <v>13560.400000000001</v>
      </c>
      <c r="J96" s="194">
        <f t="shared" si="24"/>
        <v>0</v>
      </c>
      <c r="K96" s="195">
        <f t="shared" si="24"/>
        <v>13560.400000000001</v>
      </c>
      <c r="L96" s="194">
        <f t="shared" si="24"/>
        <v>15009.5</v>
      </c>
      <c r="M96" s="194">
        <f t="shared" si="24"/>
        <v>0</v>
      </c>
      <c r="N96" s="194">
        <f t="shared" si="24"/>
        <v>15009.5</v>
      </c>
      <c r="O96" s="178">
        <f t="shared" si="19"/>
        <v>15009.5</v>
      </c>
      <c r="P96" s="92">
        <f t="shared" si="20"/>
        <v>0</v>
      </c>
    </row>
    <row r="97" spans="1:16" ht="47.25" x14ac:dyDescent="0.2">
      <c r="A97" s="42"/>
      <c r="B97" s="168" t="s">
        <v>119</v>
      </c>
      <c r="C97" s="169" t="s">
        <v>120</v>
      </c>
      <c r="D97" s="170" t="s">
        <v>26</v>
      </c>
      <c r="E97" s="171"/>
      <c r="F97" s="172">
        <f>F104+F98+F100+F102</f>
        <v>1449.1000000000001</v>
      </c>
      <c r="G97" s="172">
        <f>G104+G98+G100+G102</f>
        <v>0</v>
      </c>
      <c r="H97" s="172">
        <f>H104+H98+H100+H102</f>
        <v>1449.1000000000001</v>
      </c>
      <c r="I97" s="188">
        <f>I104+I100+I102</f>
        <v>13560.400000000001</v>
      </c>
      <c r="J97" s="172">
        <f>J104+J98+J100</f>
        <v>0</v>
      </c>
      <c r="K97" s="188">
        <f>K104+K100+K102</f>
        <v>13560.400000000001</v>
      </c>
      <c r="L97" s="172">
        <f>L104+L98+L100+L102</f>
        <v>15009.5</v>
      </c>
      <c r="M97" s="172">
        <f>M104+M98+M100+M102</f>
        <v>0</v>
      </c>
      <c r="N97" s="172">
        <f>N104+N98+N100+N102</f>
        <v>15009.5</v>
      </c>
      <c r="O97" s="178">
        <f t="shared" si="19"/>
        <v>15009.5</v>
      </c>
      <c r="P97" s="92">
        <f t="shared" si="20"/>
        <v>0</v>
      </c>
    </row>
    <row r="98" spans="1:16" ht="31.5" x14ac:dyDescent="0.2">
      <c r="A98" s="42"/>
      <c r="B98" s="198" t="s">
        <v>121</v>
      </c>
      <c r="C98" s="169" t="s">
        <v>122</v>
      </c>
      <c r="D98" s="170"/>
      <c r="E98" s="171"/>
      <c r="F98" s="172">
        <v>735.3</v>
      </c>
      <c r="G98" s="172"/>
      <c r="H98" s="172">
        <f>SUM(F98)</f>
        <v>735.3</v>
      </c>
      <c r="I98" s="188"/>
      <c r="J98" s="189"/>
      <c r="K98" s="188"/>
      <c r="L98" s="172">
        <f t="shared" ref="L98:N99" si="25">SUM(F98)</f>
        <v>735.3</v>
      </c>
      <c r="M98" s="172">
        <f t="shared" si="25"/>
        <v>0</v>
      </c>
      <c r="N98" s="172">
        <f t="shared" si="25"/>
        <v>735.3</v>
      </c>
      <c r="O98" s="178">
        <f t="shared" si="19"/>
        <v>735.3</v>
      </c>
      <c r="P98" s="92">
        <f t="shared" si="20"/>
        <v>0</v>
      </c>
    </row>
    <row r="99" spans="1:16" ht="31.5" x14ac:dyDescent="0.2">
      <c r="A99" s="42"/>
      <c r="B99" s="168" t="s">
        <v>35</v>
      </c>
      <c r="C99" s="169" t="s">
        <v>122</v>
      </c>
      <c r="D99" s="170" t="s">
        <v>36</v>
      </c>
      <c r="E99" s="171"/>
      <c r="F99" s="172">
        <v>735.3</v>
      </c>
      <c r="G99" s="172"/>
      <c r="H99" s="172">
        <f>SUM(F99)</f>
        <v>735.3</v>
      </c>
      <c r="I99" s="188"/>
      <c r="J99" s="189"/>
      <c r="K99" s="188"/>
      <c r="L99" s="172">
        <f t="shared" si="25"/>
        <v>735.3</v>
      </c>
      <c r="M99" s="172">
        <f t="shared" si="25"/>
        <v>0</v>
      </c>
      <c r="N99" s="172">
        <f t="shared" si="25"/>
        <v>735.3</v>
      </c>
      <c r="O99" s="178">
        <f t="shared" si="19"/>
        <v>735.3</v>
      </c>
      <c r="P99" s="92">
        <f t="shared" si="20"/>
        <v>0</v>
      </c>
    </row>
    <row r="100" spans="1:16" ht="63" hidden="1" x14ac:dyDescent="0.2">
      <c r="A100" s="42"/>
      <c r="B100" s="197" t="s">
        <v>450</v>
      </c>
      <c r="C100" s="169" t="s">
        <v>449</v>
      </c>
      <c r="D100" s="170"/>
      <c r="E100" s="171"/>
      <c r="F100" s="172">
        <f>SUM(F101)</f>
        <v>0</v>
      </c>
      <c r="G100" s="172"/>
      <c r="H100" s="172">
        <f>SUM(F100+G100)</f>
        <v>0</v>
      </c>
      <c r="I100" s="188">
        <f>SUM(I101)</f>
        <v>0</v>
      </c>
      <c r="J100" s="189"/>
      <c r="K100" s="188">
        <f>SUM(K101)</f>
        <v>0</v>
      </c>
      <c r="L100" s="172">
        <f>SUM(F100+I100)</f>
        <v>0</v>
      </c>
      <c r="M100" s="172">
        <f t="shared" ref="M100:N103" si="26">SUM(G100)+J100</f>
        <v>0</v>
      </c>
      <c r="N100" s="172">
        <f t="shared" si="26"/>
        <v>0</v>
      </c>
      <c r="O100" s="178">
        <f t="shared" si="19"/>
        <v>0</v>
      </c>
      <c r="P100" s="92">
        <f t="shared" si="20"/>
        <v>0</v>
      </c>
    </row>
    <row r="101" spans="1:16" ht="31.5" hidden="1" x14ac:dyDescent="0.2">
      <c r="A101" s="42"/>
      <c r="B101" s="168" t="s">
        <v>35</v>
      </c>
      <c r="C101" s="169" t="s">
        <v>449</v>
      </c>
      <c r="D101" s="170" t="s">
        <v>36</v>
      </c>
      <c r="E101" s="171"/>
      <c r="F101" s="172">
        <v>0</v>
      </c>
      <c r="G101" s="172"/>
      <c r="H101" s="172">
        <f>SUM(F101+G101)</f>
        <v>0</v>
      </c>
      <c r="I101" s="188">
        <v>0</v>
      </c>
      <c r="J101" s="189"/>
      <c r="K101" s="188">
        <v>0</v>
      </c>
      <c r="L101" s="172">
        <f>SUM(F101+I101)</f>
        <v>0</v>
      </c>
      <c r="M101" s="172">
        <f t="shared" si="26"/>
        <v>0</v>
      </c>
      <c r="N101" s="172">
        <f t="shared" si="26"/>
        <v>0</v>
      </c>
      <c r="O101" s="178">
        <f t="shared" si="19"/>
        <v>0</v>
      </c>
      <c r="P101" s="92">
        <f t="shared" si="20"/>
        <v>0</v>
      </c>
    </row>
    <row r="102" spans="1:16" ht="63" x14ac:dyDescent="0.2">
      <c r="A102" s="42"/>
      <c r="B102" s="197" t="s">
        <v>450</v>
      </c>
      <c r="C102" s="199" t="s">
        <v>459</v>
      </c>
      <c r="D102" s="170"/>
      <c r="E102" s="171"/>
      <c r="F102" s="172">
        <f>SUM(F103)</f>
        <v>294.2</v>
      </c>
      <c r="G102" s="172"/>
      <c r="H102" s="172">
        <f>SUM(H103)</f>
        <v>294.2</v>
      </c>
      <c r="I102" s="188">
        <v>5589.3</v>
      </c>
      <c r="J102" s="189"/>
      <c r="K102" s="189">
        <v>5589.3</v>
      </c>
      <c r="L102" s="172">
        <f>SUM(F102+I102)</f>
        <v>5883.5</v>
      </c>
      <c r="M102" s="172">
        <f t="shared" si="26"/>
        <v>0</v>
      </c>
      <c r="N102" s="172">
        <f>SUM(H102+K102)</f>
        <v>5883.5</v>
      </c>
      <c r="O102" s="178">
        <f t="shared" si="19"/>
        <v>5883.5</v>
      </c>
      <c r="P102" s="92">
        <f t="shared" si="20"/>
        <v>0</v>
      </c>
    </row>
    <row r="103" spans="1:16" ht="31.5" x14ac:dyDescent="0.2">
      <c r="A103" s="42"/>
      <c r="B103" s="168" t="s">
        <v>35</v>
      </c>
      <c r="C103" s="199" t="s">
        <v>459</v>
      </c>
      <c r="D103" s="170" t="s">
        <v>36</v>
      </c>
      <c r="E103" s="171"/>
      <c r="F103" s="172">
        <v>294.2</v>
      </c>
      <c r="G103" s="172"/>
      <c r="H103" s="172">
        <v>294.2</v>
      </c>
      <c r="I103" s="188">
        <v>5589.3</v>
      </c>
      <c r="J103" s="189"/>
      <c r="K103" s="189">
        <v>5589.3</v>
      </c>
      <c r="L103" s="172">
        <f>SUM(F103+I103)</f>
        <v>5883.5</v>
      </c>
      <c r="M103" s="172">
        <f t="shared" si="26"/>
        <v>0</v>
      </c>
      <c r="N103" s="172">
        <f t="shared" si="26"/>
        <v>5883.5</v>
      </c>
      <c r="O103" s="178">
        <f t="shared" si="19"/>
        <v>5883.5</v>
      </c>
      <c r="P103" s="92">
        <f t="shared" si="20"/>
        <v>0</v>
      </c>
    </row>
    <row r="104" spans="1:16" ht="36.6" customHeight="1" x14ac:dyDescent="0.2">
      <c r="A104" s="42"/>
      <c r="B104" s="168" t="s">
        <v>123</v>
      </c>
      <c r="C104" s="169" t="s">
        <v>124</v>
      </c>
      <c r="D104" s="170" t="s">
        <v>26</v>
      </c>
      <c r="E104" s="171"/>
      <c r="F104" s="172">
        <f t="shared" ref="F104:N104" si="27">F105</f>
        <v>419.6</v>
      </c>
      <c r="G104" s="172">
        <f t="shared" si="27"/>
        <v>0</v>
      </c>
      <c r="H104" s="172">
        <f t="shared" si="27"/>
        <v>419.6</v>
      </c>
      <c r="I104" s="188">
        <f t="shared" si="27"/>
        <v>7971.1</v>
      </c>
      <c r="J104" s="188">
        <f t="shared" si="27"/>
        <v>0</v>
      </c>
      <c r="K104" s="188">
        <f t="shared" si="27"/>
        <v>7971.1</v>
      </c>
      <c r="L104" s="172">
        <f t="shared" si="27"/>
        <v>8390.7000000000007</v>
      </c>
      <c r="M104" s="172">
        <f t="shared" si="27"/>
        <v>0</v>
      </c>
      <c r="N104" s="172">
        <f t="shared" si="27"/>
        <v>8390.7000000000007</v>
      </c>
      <c r="O104" s="178">
        <f t="shared" si="19"/>
        <v>8390.7000000000007</v>
      </c>
      <c r="P104" s="92">
        <f t="shared" si="20"/>
        <v>0</v>
      </c>
    </row>
    <row r="105" spans="1:16" ht="31.5" x14ac:dyDescent="0.2">
      <c r="A105" s="42"/>
      <c r="B105" s="168" t="s">
        <v>35</v>
      </c>
      <c r="C105" s="169" t="s">
        <v>124</v>
      </c>
      <c r="D105" s="170" t="s">
        <v>36</v>
      </c>
      <c r="E105" s="171"/>
      <c r="F105" s="172">
        <v>419.6</v>
      </c>
      <c r="G105" s="172"/>
      <c r="H105" s="172">
        <f>419.6+G105</f>
        <v>419.6</v>
      </c>
      <c r="I105" s="188">
        <v>7971.1</v>
      </c>
      <c r="J105" s="189"/>
      <c r="K105" s="188">
        <f>7971.1+J105</f>
        <v>7971.1</v>
      </c>
      <c r="L105" s="172">
        <f>419.6+I105</f>
        <v>8390.7000000000007</v>
      </c>
      <c r="M105" s="172">
        <f>SUM(J105)</f>
        <v>0</v>
      </c>
      <c r="N105" s="172">
        <f>419.6+K105</f>
        <v>8390.7000000000007</v>
      </c>
      <c r="O105" s="178">
        <f t="shared" si="19"/>
        <v>8390.7000000000007</v>
      </c>
      <c r="P105" s="92">
        <f t="shared" si="20"/>
        <v>0</v>
      </c>
    </row>
    <row r="106" spans="1:16" ht="35.450000000000003" customHeight="1" x14ac:dyDescent="0.2">
      <c r="A106" s="49"/>
      <c r="B106" s="190" t="s">
        <v>125</v>
      </c>
      <c r="C106" s="191" t="s">
        <v>126</v>
      </c>
      <c r="D106" s="192" t="s">
        <v>26</v>
      </c>
      <c r="E106" s="193"/>
      <c r="F106" s="194">
        <f t="shared" ref="F106:N106" si="28">F107+F115</f>
        <v>18456.2</v>
      </c>
      <c r="G106" s="194">
        <f>G107+G115</f>
        <v>0</v>
      </c>
      <c r="H106" s="194">
        <f>H107+H115</f>
        <v>18456.2</v>
      </c>
      <c r="I106" s="195">
        <f t="shared" si="28"/>
        <v>53692.5</v>
      </c>
      <c r="J106" s="194">
        <f t="shared" si="28"/>
        <v>0</v>
      </c>
      <c r="K106" s="195">
        <f t="shared" si="28"/>
        <v>53692.5</v>
      </c>
      <c r="L106" s="194">
        <f t="shared" si="28"/>
        <v>72148.7</v>
      </c>
      <c r="M106" s="194">
        <f t="shared" si="28"/>
        <v>0</v>
      </c>
      <c r="N106" s="194">
        <f t="shared" si="28"/>
        <v>72148.7</v>
      </c>
      <c r="O106" s="178">
        <f t="shared" si="19"/>
        <v>72148.7</v>
      </c>
      <c r="P106" s="92">
        <f t="shared" si="20"/>
        <v>0</v>
      </c>
    </row>
    <row r="107" spans="1:16" ht="31.5" x14ac:dyDescent="0.2">
      <c r="A107" s="42"/>
      <c r="B107" s="168" t="s">
        <v>127</v>
      </c>
      <c r="C107" s="169" t="s">
        <v>128</v>
      </c>
      <c r="D107" s="170" t="s">
        <v>26</v>
      </c>
      <c r="E107" s="171"/>
      <c r="F107" s="188">
        <f>F108+F113+F111</f>
        <v>10274.1</v>
      </c>
      <c r="G107" s="188">
        <f t="shared" ref="G107:N107" si="29">G108+G113+G111</f>
        <v>0</v>
      </c>
      <c r="H107" s="188">
        <f t="shared" si="29"/>
        <v>10274.1</v>
      </c>
      <c r="I107" s="188">
        <f t="shared" si="29"/>
        <v>53692.5</v>
      </c>
      <c r="J107" s="188">
        <f t="shared" si="29"/>
        <v>0</v>
      </c>
      <c r="K107" s="188">
        <f t="shared" si="29"/>
        <v>53692.5</v>
      </c>
      <c r="L107" s="188">
        <f t="shared" si="29"/>
        <v>63966.6</v>
      </c>
      <c r="M107" s="188">
        <f t="shared" si="29"/>
        <v>0</v>
      </c>
      <c r="N107" s="188">
        <f t="shared" si="29"/>
        <v>63966.6</v>
      </c>
      <c r="O107" s="178">
        <f t="shared" si="19"/>
        <v>63966.6</v>
      </c>
      <c r="P107" s="92">
        <f t="shared" si="20"/>
        <v>0</v>
      </c>
    </row>
    <row r="108" spans="1:16" ht="49.15" customHeight="1" x14ac:dyDescent="0.2">
      <c r="A108" s="42"/>
      <c r="B108" s="168" t="s">
        <v>129</v>
      </c>
      <c r="C108" s="169" t="s">
        <v>130</v>
      </c>
      <c r="D108" s="170" t="s">
        <v>26</v>
      </c>
      <c r="E108" s="171"/>
      <c r="F108" s="172">
        <f>F109+F110</f>
        <v>10274.1</v>
      </c>
      <c r="G108" s="172">
        <f>G109+G110</f>
        <v>0</v>
      </c>
      <c r="H108" s="172">
        <f>H109+H110</f>
        <v>10274.1</v>
      </c>
      <c r="I108" s="188">
        <f>I109+I110</f>
        <v>27036</v>
      </c>
      <c r="J108" s="189">
        <f>SUM(J109+J110)</f>
        <v>0</v>
      </c>
      <c r="K108" s="188">
        <f>K109+K110</f>
        <v>27036</v>
      </c>
      <c r="L108" s="172">
        <f>L109+L110</f>
        <v>37310.1</v>
      </c>
      <c r="M108" s="172">
        <f>M109+M110</f>
        <v>0</v>
      </c>
      <c r="N108" s="172">
        <f>N109+N110</f>
        <v>37310.1</v>
      </c>
      <c r="O108" s="178">
        <f t="shared" si="19"/>
        <v>37310.1</v>
      </c>
      <c r="P108" s="92">
        <f t="shared" si="20"/>
        <v>0</v>
      </c>
    </row>
    <row r="109" spans="1:16" ht="31.5" x14ac:dyDescent="0.2">
      <c r="A109" s="42"/>
      <c r="B109" s="168" t="s">
        <v>35</v>
      </c>
      <c r="C109" s="169" t="s">
        <v>130</v>
      </c>
      <c r="D109" s="170" t="s">
        <v>36</v>
      </c>
      <c r="E109" s="171"/>
      <c r="F109" s="172">
        <v>9794.1</v>
      </c>
      <c r="G109" s="172"/>
      <c r="H109" s="172">
        <f>SUM(F109)+G109</f>
        <v>9794.1</v>
      </c>
      <c r="I109" s="188">
        <v>10000</v>
      </c>
      <c r="J109" s="189"/>
      <c r="K109" s="189">
        <f>SUM(I109)</f>
        <v>10000</v>
      </c>
      <c r="L109" s="172">
        <f>F109+I109</f>
        <v>19794.099999999999</v>
      </c>
      <c r="M109" s="254">
        <f>G109+J109</f>
        <v>0</v>
      </c>
      <c r="N109" s="172">
        <f>H109+K109</f>
        <v>19794.099999999999</v>
      </c>
      <c r="O109" s="178">
        <f t="shared" si="19"/>
        <v>19794.099999999999</v>
      </c>
      <c r="P109" s="92">
        <f t="shared" si="20"/>
        <v>0</v>
      </c>
    </row>
    <row r="110" spans="1:16" ht="31.5" x14ac:dyDescent="0.2">
      <c r="A110" s="42"/>
      <c r="B110" s="168" t="s">
        <v>131</v>
      </c>
      <c r="C110" s="169" t="s">
        <v>130</v>
      </c>
      <c r="D110" s="170" t="s">
        <v>132</v>
      </c>
      <c r="E110" s="171"/>
      <c r="F110" s="172">
        <v>480</v>
      </c>
      <c r="G110" s="172"/>
      <c r="H110" s="172">
        <f>SUM(F110:G110)</f>
        <v>480</v>
      </c>
      <c r="I110" s="188">
        <v>17036</v>
      </c>
      <c r="J110" s="172"/>
      <c r="K110" s="189">
        <f>SUM(I110)</f>
        <v>17036</v>
      </c>
      <c r="L110" s="172">
        <f>SUM(F110+I110)</f>
        <v>17516</v>
      </c>
      <c r="M110" s="172">
        <f>SUM(J110)+G110</f>
        <v>0</v>
      </c>
      <c r="N110" s="172">
        <f>SUM(H110+K110)</f>
        <v>17516</v>
      </c>
      <c r="O110" s="178">
        <f t="shared" si="19"/>
        <v>17516</v>
      </c>
      <c r="P110" s="92">
        <f t="shared" si="20"/>
        <v>0</v>
      </c>
    </row>
    <row r="111" spans="1:16" ht="78.75" x14ac:dyDescent="0.2">
      <c r="A111" s="42"/>
      <c r="B111" s="168" t="s">
        <v>133</v>
      </c>
      <c r="C111" s="169" t="s">
        <v>134</v>
      </c>
      <c r="D111" s="170"/>
      <c r="E111" s="171"/>
      <c r="F111" s="188">
        <f>F112</f>
        <v>0</v>
      </c>
      <c r="G111" s="188">
        <f t="shared" ref="G111:N111" si="30">G112</f>
        <v>0</v>
      </c>
      <c r="H111" s="188">
        <f t="shared" si="30"/>
        <v>0</v>
      </c>
      <c r="I111" s="188">
        <f t="shared" si="30"/>
        <v>26656.5</v>
      </c>
      <c r="J111" s="188">
        <f t="shared" si="30"/>
        <v>0</v>
      </c>
      <c r="K111" s="188">
        <f t="shared" si="30"/>
        <v>26656.5</v>
      </c>
      <c r="L111" s="188">
        <f t="shared" si="30"/>
        <v>26656.5</v>
      </c>
      <c r="M111" s="188">
        <f t="shared" si="30"/>
        <v>0</v>
      </c>
      <c r="N111" s="188">
        <f t="shared" si="30"/>
        <v>26656.5</v>
      </c>
      <c r="O111" s="178">
        <f t="shared" si="19"/>
        <v>26656.5</v>
      </c>
      <c r="P111" s="92">
        <f t="shared" si="20"/>
        <v>0</v>
      </c>
    </row>
    <row r="112" spans="1:16" ht="34.15" customHeight="1" x14ac:dyDescent="0.2">
      <c r="A112" s="42"/>
      <c r="B112" s="168" t="s">
        <v>35</v>
      </c>
      <c r="C112" s="169" t="s">
        <v>134</v>
      </c>
      <c r="D112" s="170" t="s">
        <v>36</v>
      </c>
      <c r="E112" s="171"/>
      <c r="F112" s="172"/>
      <c r="G112" s="172"/>
      <c r="H112" s="172"/>
      <c r="I112" s="188">
        <v>26656.5</v>
      </c>
      <c r="J112" s="189"/>
      <c r="K112" s="189">
        <f>SUM(I112:J112)</f>
        <v>26656.5</v>
      </c>
      <c r="L112" s="172">
        <f>F112+I112</f>
        <v>26656.5</v>
      </c>
      <c r="M112" s="172">
        <f>G112+J112</f>
        <v>0</v>
      </c>
      <c r="N112" s="172">
        <f>H112+K112</f>
        <v>26656.5</v>
      </c>
      <c r="O112" s="178">
        <f t="shared" si="19"/>
        <v>26656.5</v>
      </c>
      <c r="P112" s="92">
        <f t="shared" si="20"/>
        <v>0</v>
      </c>
    </row>
    <row r="113" spans="1:17" ht="63" x14ac:dyDescent="0.2">
      <c r="A113" s="42"/>
      <c r="B113" s="168" t="s">
        <v>135</v>
      </c>
      <c r="C113" s="169" t="s">
        <v>136</v>
      </c>
      <c r="D113" s="170" t="s">
        <v>26</v>
      </c>
      <c r="E113" s="171"/>
      <c r="F113" s="172">
        <f>F114</f>
        <v>0</v>
      </c>
      <c r="G113" s="172">
        <f>G114</f>
        <v>0</v>
      </c>
      <c r="H113" s="172">
        <f>H114</f>
        <v>0</v>
      </c>
      <c r="I113" s="188">
        <f>I114</f>
        <v>0</v>
      </c>
      <c r="J113" s="189"/>
      <c r="K113" s="188">
        <f>K114</f>
        <v>0</v>
      </c>
      <c r="L113" s="172">
        <f>L114</f>
        <v>0</v>
      </c>
      <c r="M113" s="172">
        <f>M114</f>
        <v>0</v>
      </c>
      <c r="N113" s="172">
        <f>N114</f>
        <v>0</v>
      </c>
      <c r="O113" s="178">
        <f t="shared" si="19"/>
        <v>0</v>
      </c>
      <c r="P113" s="92">
        <f t="shared" si="20"/>
        <v>0</v>
      </c>
    </row>
    <row r="114" spans="1:17" ht="31.5" x14ac:dyDescent="0.2">
      <c r="A114" s="42"/>
      <c r="B114" s="168" t="s">
        <v>35</v>
      </c>
      <c r="C114" s="169" t="s">
        <v>136</v>
      </c>
      <c r="D114" s="170" t="s">
        <v>36</v>
      </c>
      <c r="E114" s="171"/>
      <c r="F114" s="172">
        <v>0</v>
      </c>
      <c r="G114" s="172"/>
      <c r="H114" s="172">
        <v>0</v>
      </c>
      <c r="I114" s="188">
        <v>0</v>
      </c>
      <c r="J114" s="189"/>
      <c r="K114" s="188">
        <v>0</v>
      </c>
      <c r="L114" s="172">
        <f>SUM(F114)</f>
        <v>0</v>
      </c>
      <c r="M114" s="172">
        <f>SUM(G114)</f>
        <v>0</v>
      </c>
      <c r="N114" s="172">
        <f>SUM(H114)</f>
        <v>0</v>
      </c>
      <c r="O114" s="178">
        <f t="shared" si="19"/>
        <v>0</v>
      </c>
      <c r="P114" s="92">
        <f t="shared" si="20"/>
        <v>0</v>
      </c>
    </row>
    <row r="115" spans="1:17" ht="31.5" x14ac:dyDescent="0.2">
      <c r="A115" s="42"/>
      <c r="B115" s="168" t="s">
        <v>137</v>
      </c>
      <c r="C115" s="169" t="s">
        <v>138</v>
      </c>
      <c r="D115" s="170" t="s">
        <v>26</v>
      </c>
      <c r="E115" s="171"/>
      <c r="F115" s="172">
        <f t="shared" ref="F115:N116" si="31">F116</f>
        <v>8182.1</v>
      </c>
      <c r="G115" s="172">
        <f t="shared" si="31"/>
        <v>0</v>
      </c>
      <c r="H115" s="172">
        <f t="shared" si="31"/>
        <v>8182.1</v>
      </c>
      <c r="I115" s="188">
        <f t="shared" si="31"/>
        <v>0</v>
      </c>
      <c r="J115" s="189"/>
      <c r="K115" s="188">
        <f t="shared" si="31"/>
        <v>0</v>
      </c>
      <c r="L115" s="172">
        <f t="shared" si="31"/>
        <v>8182.1</v>
      </c>
      <c r="M115" s="172">
        <f t="shared" si="31"/>
        <v>0</v>
      </c>
      <c r="N115" s="172">
        <f t="shared" si="31"/>
        <v>8182.1</v>
      </c>
      <c r="O115" s="178">
        <f t="shared" si="19"/>
        <v>8182.1</v>
      </c>
      <c r="P115" s="92">
        <f t="shared" si="20"/>
        <v>0</v>
      </c>
    </row>
    <row r="116" spans="1:17" ht="63" x14ac:dyDescent="0.2">
      <c r="A116" s="42"/>
      <c r="B116" s="168" t="s">
        <v>135</v>
      </c>
      <c r="C116" s="169" t="s">
        <v>139</v>
      </c>
      <c r="D116" s="170" t="s">
        <v>26</v>
      </c>
      <c r="E116" s="171"/>
      <c r="F116" s="172">
        <f t="shared" si="31"/>
        <v>8182.1</v>
      </c>
      <c r="G116" s="172">
        <f t="shared" si="31"/>
        <v>0</v>
      </c>
      <c r="H116" s="172">
        <f t="shared" si="31"/>
        <v>8182.1</v>
      </c>
      <c r="I116" s="188">
        <f t="shared" si="31"/>
        <v>0</v>
      </c>
      <c r="J116" s="189"/>
      <c r="K116" s="188">
        <f t="shared" si="31"/>
        <v>0</v>
      </c>
      <c r="L116" s="172">
        <f t="shared" si="31"/>
        <v>8182.1</v>
      </c>
      <c r="M116" s="172">
        <f t="shared" si="31"/>
        <v>0</v>
      </c>
      <c r="N116" s="172">
        <f t="shared" si="31"/>
        <v>8182.1</v>
      </c>
      <c r="O116" s="178">
        <f t="shared" si="19"/>
        <v>8182.1</v>
      </c>
      <c r="P116" s="92">
        <f t="shared" si="20"/>
        <v>0</v>
      </c>
    </row>
    <row r="117" spans="1:17" ht="31.5" x14ac:dyDescent="0.2">
      <c r="A117" s="42"/>
      <c r="B117" s="168" t="s">
        <v>35</v>
      </c>
      <c r="C117" s="169" t="s">
        <v>139</v>
      </c>
      <c r="D117" s="170" t="s">
        <v>36</v>
      </c>
      <c r="E117" s="171"/>
      <c r="F117" s="172">
        <v>8182.1</v>
      </c>
      <c r="G117" s="172"/>
      <c r="H117" s="172">
        <f>F117+G117</f>
        <v>8182.1</v>
      </c>
      <c r="I117" s="188">
        <v>0</v>
      </c>
      <c r="J117" s="189"/>
      <c r="K117" s="188">
        <v>0</v>
      </c>
      <c r="L117" s="172">
        <f>SUM(F117)</f>
        <v>8182.1</v>
      </c>
      <c r="M117" s="172">
        <f>SUM(G117)</f>
        <v>0</v>
      </c>
      <c r="N117" s="172">
        <f>SUM(H117)</f>
        <v>8182.1</v>
      </c>
      <c r="O117" s="178">
        <f t="shared" si="19"/>
        <v>8182.1</v>
      </c>
      <c r="P117" s="92">
        <f t="shared" si="20"/>
        <v>0</v>
      </c>
    </row>
    <row r="118" spans="1:17" ht="18.75" x14ac:dyDescent="0.2">
      <c r="A118" s="49"/>
      <c r="B118" s="190" t="s">
        <v>140</v>
      </c>
      <c r="C118" s="191" t="s">
        <v>141</v>
      </c>
      <c r="D118" s="192" t="s">
        <v>26</v>
      </c>
      <c r="E118" s="193"/>
      <c r="F118" s="194">
        <f>F119+F128+F123+F131</f>
        <v>18056.500000000004</v>
      </c>
      <c r="G118" s="172">
        <f>G119+G123+G131</f>
        <v>0</v>
      </c>
      <c r="H118" s="194">
        <f>H119+H128+H123+H131</f>
        <v>18056.500000000004</v>
      </c>
      <c r="I118" s="195">
        <f>I119+I128</f>
        <v>0</v>
      </c>
      <c r="J118" s="194">
        <f>J119+J128</f>
        <v>0</v>
      </c>
      <c r="K118" s="195">
        <f>K119+K128</f>
        <v>0</v>
      </c>
      <c r="L118" s="194">
        <f>L119+L128+L123+L131</f>
        <v>18056.500000000004</v>
      </c>
      <c r="M118" s="194">
        <f>M119+M128+M123+M131+M126</f>
        <v>0</v>
      </c>
      <c r="N118" s="194">
        <f>N119+N128+N123+N131</f>
        <v>18056.500000000004</v>
      </c>
      <c r="O118" s="178">
        <f t="shared" si="19"/>
        <v>18056.500000000004</v>
      </c>
      <c r="P118" s="92">
        <f t="shared" si="20"/>
        <v>0</v>
      </c>
      <c r="Q118" s="55"/>
    </row>
    <row r="119" spans="1:17" ht="47.25" x14ac:dyDescent="0.2">
      <c r="A119" s="42"/>
      <c r="B119" s="168" t="s">
        <v>142</v>
      </c>
      <c r="C119" s="169" t="s">
        <v>143</v>
      </c>
      <c r="D119" s="170" t="s">
        <v>26</v>
      </c>
      <c r="E119" s="171"/>
      <c r="F119" s="172">
        <f>F120</f>
        <v>9290.5</v>
      </c>
      <c r="G119" s="172">
        <f>G120</f>
        <v>0</v>
      </c>
      <c r="H119" s="172">
        <f>H120</f>
        <v>9290.5</v>
      </c>
      <c r="I119" s="188">
        <f>I120</f>
        <v>0</v>
      </c>
      <c r="J119" s="189"/>
      <c r="K119" s="188">
        <f>K120</f>
        <v>0</v>
      </c>
      <c r="L119" s="172">
        <f>L120</f>
        <v>9290.5</v>
      </c>
      <c r="M119" s="172">
        <f>M120</f>
        <v>0</v>
      </c>
      <c r="N119" s="172">
        <f>N120</f>
        <v>9290.5</v>
      </c>
      <c r="O119" s="178">
        <f t="shared" si="19"/>
        <v>9290.5</v>
      </c>
      <c r="P119" s="92">
        <f t="shared" si="20"/>
        <v>0</v>
      </c>
    </row>
    <row r="120" spans="1:17" ht="31.5" x14ac:dyDescent="0.2">
      <c r="A120" s="42"/>
      <c r="B120" s="168" t="s">
        <v>39</v>
      </c>
      <c r="C120" s="169" t="s">
        <v>144</v>
      </c>
      <c r="D120" s="170" t="s">
        <v>26</v>
      </c>
      <c r="E120" s="171"/>
      <c r="F120" s="172">
        <f>F121+F122</f>
        <v>9290.5</v>
      </c>
      <c r="G120" s="172">
        <f>G121+G122</f>
        <v>0</v>
      </c>
      <c r="H120" s="172">
        <f>H121+H122</f>
        <v>9290.5</v>
      </c>
      <c r="I120" s="188">
        <f>I121+I122</f>
        <v>0</v>
      </c>
      <c r="J120" s="189"/>
      <c r="K120" s="188">
        <f>K121+K122</f>
        <v>0</v>
      </c>
      <c r="L120" s="172">
        <f>L121+L122</f>
        <v>9290.5</v>
      </c>
      <c r="M120" s="172">
        <f>M121+M122</f>
        <v>0</v>
      </c>
      <c r="N120" s="172">
        <f>N121+N122</f>
        <v>9290.5</v>
      </c>
      <c r="O120" s="178">
        <f t="shared" si="19"/>
        <v>9290.5</v>
      </c>
      <c r="P120" s="92">
        <f t="shared" si="20"/>
        <v>0</v>
      </c>
    </row>
    <row r="121" spans="1:17" ht="64.900000000000006" customHeight="1" x14ac:dyDescent="0.2">
      <c r="A121" s="42"/>
      <c r="B121" s="168" t="s">
        <v>31</v>
      </c>
      <c r="C121" s="169" t="s">
        <v>144</v>
      </c>
      <c r="D121" s="170" t="s">
        <v>32</v>
      </c>
      <c r="E121" s="171"/>
      <c r="F121" s="172">
        <v>8871.2000000000007</v>
      </c>
      <c r="G121" s="172"/>
      <c r="H121" s="172">
        <f>SUM(F121)</f>
        <v>8871.2000000000007</v>
      </c>
      <c r="I121" s="188">
        <v>0</v>
      </c>
      <c r="J121" s="189"/>
      <c r="K121" s="188">
        <v>0</v>
      </c>
      <c r="L121" s="172">
        <f>SUM(F121)</f>
        <v>8871.2000000000007</v>
      </c>
      <c r="M121" s="172">
        <f>SUM(G121)</f>
        <v>0</v>
      </c>
      <c r="N121" s="172">
        <f>SUM(H121)</f>
        <v>8871.2000000000007</v>
      </c>
      <c r="O121" s="178">
        <f t="shared" si="19"/>
        <v>8871.2000000000007</v>
      </c>
      <c r="P121" s="92">
        <f t="shared" si="20"/>
        <v>0</v>
      </c>
    </row>
    <row r="122" spans="1:17" ht="31.5" x14ac:dyDescent="0.2">
      <c r="A122" s="42"/>
      <c r="B122" s="168" t="s">
        <v>35</v>
      </c>
      <c r="C122" s="169" t="s">
        <v>144</v>
      </c>
      <c r="D122" s="170" t="s">
        <v>36</v>
      </c>
      <c r="E122" s="171"/>
      <c r="F122" s="172">
        <v>419.3</v>
      </c>
      <c r="G122" s="172"/>
      <c r="H122" s="172">
        <f>SUM(F122)+G122</f>
        <v>419.3</v>
      </c>
      <c r="I122" s="188">
        <v>0</v>
      </c>
      <c r="J122" s="189"/>
      <c r="K122" s="188">
        <v>0</v>
      </c>
      <c r="L122" s="172">
        <f t="shared" ref="L122:N126" si="32">SUM(F122)</f>
        <v>419.3</v>
      </c>
      <c r="M122" s="172">
        <f t="shared" si="32"/>
        <v>0</v>
      </c>
      <c r="N122" s="172">
        <f t="shared" si="32"/>
        <v>419.3</v>
      </c>
      <c r="O122" s="178">
        <f t="shared" si="19"/>
        <v>419.3</v>
      </c>
      <c r="P122" s="92">
        <f t="shared" si="20"/>
        <v>0</v>
      </c>
    </row>
    <row r="123" spans="1:17" ht="18.75" x14ac:dyDescent="0.2">
      <c r="A123" s="42"/>
      <c r="B123" s="168" t="s">
        <v>145</v>
      </c>
      <c r="C123" s="169" t="s">
        <v>146</v>
      </c>
      <c r="D123" s="170"/>
      <c r="E123" s="171"/>
      <c r="F123" s="172">
        <f>SUM(F126)+F124</f>
        <v>914.9</v>
      </c>
      <c r="G123" s="172"/>
      <c r="H123" s="172">
        <f>SUM(H126)+H124</f>
        <v>914.9</v>
      </c>
      <c r="I123" s="188"/>
      <c r="J123" s="189"/>
      <c r="K123" s="188"/>
      <c r="L123" s="172">
        <f t="shared" si="32"/>
        <v>914.9</v>
      </c>
      <c r="M123" s="172">
        <f t="shared" si="32"/>
        <v>0</v>
      </c>
      <c r="N123" s="172">
        <f t="shared" si="32"/>
        <v>914.9</v>
      </c>
      <c r="O123" s="178">
        <f t="shared" si="19"/>
        <v>914.9</v>
      </c>
      <c r="P123" s="92">
        <f t="shared" si="20"/>
        <v>0</v>
      </c>
    </row>
    <row r="124" spans="1:17" ht="18.75" x14ac:dyDescent="0.2">
      <c r="A124" s="42"/>
      <c r="B124" s="168" t="s">
        <v>147</v>
      </c>
      <c r="C124" s="169" t="s">
        <v>148</v>
      </c>
      <c r="D124" s="170"/>
      <c r="E124" s="171"/>
      <c r="F124" s="172">
        <f>SUM(F127)+F125</f>
        <v>914.9</v>
      </c>
      <c r="G124" s="172"/>
      <c r="H124" s="172">
        <f>SUM(F124)+G124</f>
        <v>914.9</v>
      </c>
      <c r="I124" s="188"/>
      <c r="J124" s="189"/>
      <c r="K124" s="188"/>
      <c r="L124" s="172">
        <f t="shared" si="32"/>
        <v>914.9</v>
      </c>
      <c r="M124" s="172">
        <f t="shared" si="32"/>
        <v>0</v>
      </c>
      <c r="N124" s="172">
        <f t="shared" si="32"/>
        <v>914.9</v>
      </c>
      <c r="O124" s="178">
        <f t="shared" si="19"/>
        <v>914.9</v>
      </c>
      <c r="P124" s="92">
        <f t="shared" si="20"/>
        <v>0</v>
      </c>
    </row>
    <row r="125" spans="1:17" ht="24" customHeight="1" x14ac:dyDescent="0.2">
      <c r="A125" s="42"/>
      <c r="B125" s="168" t="s">
        <v>35</v>
      </c>
      <c r="C125" s="169" t="s">
        <v>148</v>
      </c>
      <c r="D125" s="170" t="s">
        <v>36</v>
      </c>
      <c r="E125" s="171"/>
      <c r="F125" s="172">
        <v>799.9</v>
      </c>
      <c r="G125" s="172"/>
      <c r="H125" s="172">
        <f>SUM(F125)+G125</f>
        <v>799.9</v>
      </c>
      <c r="I125" s="188"/>
      <c r="J125" s="189"/>
      <c r="K125" s="188"/>
      <c r="L125" s="172">
        <f t="shared" si="32"/>
        <v>799.9</v>
      </c>
      <c r="M125" s="172">
        <f t="shared" si="32"/>
        <v>0</v>
      </c>
      <c r="N125" s="172">
        <f t="shared" si="32"/>
        <v>799.9</v>
      </c>
      <c r="O125" s="178">
        <f t="shared" si="19"/>
        <v>799.9</v>
      </c>
      <c r="P125" s="92">
        <f t="shared" si="20"/>
        <v>0</v>
      </c>
    </row>
    <row r="126" spans="1:17" ht="31.5" hidden="1" x14ac:dyDescent="0.2">
      <c r="A126" s="42"/>
      <c r="B126" s="168" t="s">
        <v>488</v>
      </c>
      <c r="C126" s="169" t="s">
        <v>487</v>
      </c>
      <c r="D126" s="170"/>
      <c r="E126" s="171"/>
      <c r="F126" s="172"/>
      <c r="G126" s="172"/>
      <c r="H126" s="172">
        <f>SUM(G126)</f>
        <v>0</v>
      </c>
      <c r="I126" s="188"/>
      <c r="J126" s="189"/>
      <c r="K126" s="188"/>
      <c r="L126" s="172"/>
      <c r="M126" s="172">
        <f>SUM(G126)</f>
        <v>0</v>
      </c>
      <c r="N126" s="172">
        <f t="shared" si="32"/>
        <v>0</v>
      </c>
      <c r="O126" s="178">
        <f t="shared" si="19"/>
        <v>0</v>
      </c>
      <c r="P126" s="92">
        <f t="shared" si="20"/>
        <v>0</v>
      </c>
    </row>
    <row r="127" spans="1:17" ht="28.5" customHeight="1" x14ac:dyDescent="0.2">
      <c r="A127" s="42"/>
      <c r="B127" s="168" t="s">
        <v>41</v>
      </c>
      <c r="C127" s="169" t="s">
        <v>487</v>
      </c>
      <c r="D127" s="170" t="s">
        <v>42</v>
      </c>
      <c r="E127" s="171"/>
      <c r="F127" s="172">
        <v>115</v>
      </c>
      <c r="G127" s="172"/>
      <c r="H127" s="172">
        <f>SUM(F127)</f>
        <v>115</v>
      </c>
      <c r="I127" s="188"/>
      <c r="J127" s="189"/>
      <c r="K127" s="188"/>
      <c r="L127" s="172">
        <f>SUM(F127)</f>
        <v>115</v>
      </c>
      <c r="M127" s="172">
        <f>SUM(G127)</f>
        <v>0</v>
      </c>
      <c r="N127" s="172">
        <f>SUM(H127)</f>
        <v>115</v>
      </c>
      <c r="O127" s="178">
        <f t="shared" si="19"/>
        <v>115</v>
      </c>
      <c r="P127" s="92">
        <f t="shared" si="20"/>
        <v>0</v>
      </c>
    </row>
    <row r="128" spans="1:17" ht="47.25" x14ac:dyDescent="0.2">
      <c r="A128" s="42"/>
      <c r="B128" s="168" t="s">
        <v>149</v>
      </c>
      <c r="C128" s="169" t="s">
        <v>150</v>
      </c>
      <c r="D128" s="170" t="s">
        <v>26</v>
      </c>
      <c r="E128" s="171"/>
      <c r="F128" s="172">
        <f t="shared" ref="F128:N129" si="33">F129</f>
        <v>7530.9</v>
      </c>
      <c r="G128" s="172">
        <f t="shared" si="33"/>
        <v>0</v>
      </c>
      <c r="H128" s="172">
        <f t="shared" si="33"/>
        <v>7530.9</v>
      </c>
      <c r="I128" s="188">
        <f t="shared" si="33"/>
        <v>0</v>
      </c>
      <c r="J128" s="189"/>
      <c r="K128" s="188">
        <f t="shared" si="33"/>
        <v>0</v>
      </c>
      <c r="L128" s="172">
        <f t="shared" si="33"/>
        <v>7530.9</v>
      </c>
      <c r="M128" s="172">
        <f t="shared" si="33"/>
        <v>0</v>
      </c>
      <c r="N128" s="172">
        <f t="shared" si="33"/>
        <v>7530.9</v>
      </c>
      <c r="O128" s="178">
        <f t="shared" si="19"/>
        <v>7530.9</v>
      </c>
      <c r="P128" s="92">
        <f t="shared" si="20"/>
        <v>0</v>
      </c>
    </row>
    <row r="129" spans="1:17" ht="31.5" x14ac:dyDescent="0.2">
      <c r="A129" s="42"/>
      <c r="B129" s="168" t="s">
        <v>39</v>
      </c>
      <c r="C129" s="169" t="s">
        <v>151</v>
      </c>
      <c r="D129" s="170" t="s">
        <v>26</v>
      </c>
      <c r="E129" s="171"/>
      <c r="F129" s="172">
        <f t="shared" si="33"/>
        <v>7530.9</v>
      </c>
      <c r="G129" s="172">
        <f t="shared" si="33"/>
        <v>0</v>
      </c>
      <c r="H129" s="172">
        <f t="shared" si="33"/>
        <v>7530.9</v>
      </c>
      <c r="I129" s="188">
        <f t="shared" si="33"/>
        <v>0</v>
      </c>
      <c r="J129" s="189"/>
      <c r="K129" s="188">
        <f t="shared" si="33"/>
        <v>0</v>
      </c>
      <c r="L129" s="172">
        <f t="shared" si="33"/>
        <v>7530.9</v>
      </c>
      <c r="M129" s="172">
        <f t="shared" si="33"/>
        <v>0</v>
      </c>
      <c r="N129" s="172">
        <f t="shared" si="33"/>
        <v>7530.9</v>
      </c>
      <c r="O129" s="178">
        <f t="shared" si="19"/>
        <v>7530.9</v>
      </c>
      <c r="P129" s="92">
        <f t="shared" si="20"/>
        <v>0</v>
      </c>
    </row>
    <row r="130" spans="1:17" ht="31.5" x14ac:dyDescent="0.2">
      <c r="A130" s="42"/>
      <c r="B130" s="168" t="s">
        <v>74</v>
      </c>
      <c r="C130" s="169" t="s">
        <v>151</v>
      </c>
      <c r="D130" s="170" t="s">
        <v>75</v>
      </c>
      <c r="E130" s="171"/>
      <c r="F130" s="172">
        <v>7530.9</v>
      </c>
      <c r="G130" s="172"/>
      <c r="H130" s="172">
        <f>SUM(F130)</f>
        <v>7530.9</v>
      </c>
      <c r="I130" s="188">
        <v>0</v>
      </c>
      <c r="J130" s="189"/>
      <c r="K130" s="188">
        <v>0</v>
      </c>
      <c r="L130" s="172">
        <f>SUM(F130)</f>
        <v>7530.9</v>
      </c>
      <c r="M130" s="172">
        <f>SUM(G130)</f>
        <v>0</v>
      </c>
      <c r="N130" s="172">
        <f>SUM(L130+M130)</f>
        <v>7530.9</v>
      </c>
      <c r="O130" s="178">
        <f t="shared" si="19"/>
        <v>7530.9</v>
      </c>
      <c r="P130" s="92">
        <f t="shared" si="20"/>
        <v>0</v>
      </c>
    </row>
    <row r="131" spans="1:17" ht="31.5" x14ac:dyDescent="0.2">
      <c r="A131" s="42"/>
      <c r="B131" s="200" t="s">
        <v>152</v>
      </c>
      <c r="C131" s="169" t="s">
        <v>153</v>
      </c>
      <c r="D131" s="170"/>
      <c r="E131" s="171"/>
      <c r="F131" s="201">
        <v>320.2</v>
      </c>
      <c r="G131" s="172">
        <f>SUM(G134)+G133</f>
        <v>0</v>
      </c>
      <c r="H131" s="172">
        <f>SUM(F131:G131)</f>
        <v>320.2</v>
      </c>
      <c r="I131" s="188"/>
      <c r="J131" s="189"/>
      <c r="K131" s="188"/>
      <c r="L131" s="172">
        <f>SUM(F132)</f>
        <v>320.2</v>
      </c>
      <c r="M131" s="172">
        <f t="shared" ref="M131:N134" si="34">SUM(G131)</f>
        <v>0</v>
      </c>
      <c r="N131" s="172">
        <f t="shared" si="34"/>
        <v>320.2</v>
      </c>
      <c r="O131" s="178">
        <f t="shared" si="19"/>
        <v>320.2</v>
      </c>
      <c r="P131" s="92">
        <f t="shared" si="20"/>
        <v>0</v>
      </c>
    </row>
    <row r="132" spans="1:17" ht="31.5" x14ac:dyDescent="0.2">
      <c r="A132" s="42"/>
      <c r="B132" s="168" t="s">
        <v>154</v>
      </c>
      <c r="C132" s="169" t="s">
        <v>155</v>
      </c>
      <c r="D132" s="170"/>
      <c r="E132" s="171"/>
      <c r="F132" s="201">
        <v>320.2</v>
      </c>
      <c r="G132" s="172">
        <f>G133+G134</f>
        <v>0</v>
      </c>
      <c r="H132" s="172">
        <f>SUM(F132:G132)</f>
        <v>320.2</v>
      </c>
      <c r="I132" s="188"/>
      <c r="J132" s="189"/>
      <c r="K132" s="188"/>
      <c r="L132" s="201">
        <f>L133</f>
        <v>320.2</v>
      </c>
      <c r="M132" s="172">
        <f t="shared" si="34"/>
        <v>0</v>
      </c>
      <c r="N132" s="172">
        <f>SUM(H132)</f>
        <v>320.2</v>
      </c>
      <c r="O132" s="178">
        <f t="shared" si="19"/>
        <v>320.2</v>
      </c>
      <c r="P132" s="92">
        <f t="shared" si="20"/>
        <v>0</v>
      </c>
    </row>
    <row r="133" spans="1:17" ht="31.5" x14ac:dyDescent="0.2">
      <c r="A133" s="42"/>
      <c r="B133" s="168" t="s">
        <v>35</v>
      </c>
      <c r="C133" s="169" t="s">
        <v>155</v>
      </c>
      <c r="D133" s="170" t="s">
        <v>36</v>
      </c>
      <c r="E133" s="171"/>
      <c r="F133" s="201">
        <v>320.2</v>
      </c>
      <c r="G133" s="172"/>
      <c r="H133" s="172">
        <f>SUM(F133)+G133</f>
        <v>320.2</v>
      </c>
      <c r="I133" s="188"/>
      <c r="J133" s="189"/>
      <c r="K133" s="188"/>
      <c r="L133" s="172">
        <f>SUM(F133)</f>
        <v>320.2</v>
      </c>
      <c r="M133" s="172">
        <f>SUM(G133)</f>
        <v>0</v>
      </c>
      <c r="N133" s="172">
        <f t="shared" si="34"/>
        <v>320.2</v>
      </c>
      <c r="O133" s="178">
        <f t="shared" si="19"/>
        <v>320.2</v>
      </c>
      <c r="P133" s="92">
        <f t="shared" si="20"/>
        <v>0</v>
      </c>
    </row>
    <row r="134" spans="1:17" ht="47.25" customHeight="1" x14ac:dyDescent="0.2">
      <c r="A134" s="42"/>
      <c r="B134" s="168" t="s">
        <v>131</v>
      </c>
      <c r="C134" s="169" t="s">
        <v>155</v>
      </c>
      <c r="D134" s="170" t="s">
        <v>132</v>
      </c>
      <c r="E134" s="171"/>
      <c r="F134" s="172">
        <v>0</v>
      </c>
      <c r="G134" s="172"/>
      <c r="H134" s="172">
        <f>SUM(F134)+G134</f>
        <v>0</v>
      </c>
      <c r="I134" s="188"/>
      <c r="J134" s="189"/>
      <c r="K134" s="188"/>
      <c r="L134" s="172">
        <f>SUM(F134)</f>
        <v>0</v>
      </c>
      <c r="M134" s="172">
        <f t="shared" si="34"/>
        <v>0</v>
      </c>
      <c r="N134" s="172">
        <f t="shared" si="34"/>
        <v>0</v>
      </c>
      <c r="O134" s="178">
        <f t="shared" si="19"/>
        <v>0</v>
      </c>
      <c r="P134" s="92">
        <f t="shared" si="20"/>
        <v>0</v>
      </c>
    </row>
    <row r="135" spans="1:17" ht="18.75" hidden="1" x14ac:dyDescent="0.2">
      <c r="A135" s="42"/>
      <c r="B135" s="168"/>
      <c r="C135" s="169"/>
      <c r="D135" s="170"/>
      <c r="E135" s="171"/>
      <c r="F135" s="172"/>
      <c r="G135" s="172"/>
      <c r="H135" s="172"/>
      <c r="I135" s="188"/>
      <c r="J135" s="189"/>
      <c r="K135" s="188"/>
      <c r="L135" s="172"/>
      <c r="M135" s="172">
        <f t="shared" ref="M135:N138" si="35">SUM(G135)</f>
        <v>0</v>
      </c>
      <c r="N135" s="172">
        <f t="shared" si="35"/>
        <v>0</v>
      </c>
      <c r="O135" s="178">
        <f t="shared" si="19"/>
        <v>0</v>
      </c>
      <c r="P135" s="92">
        <f t="shared" si="20"/>
        <v>0</v>
      </c>
    </row>
    <row r="136" spans="1:17" ht="18.75" hidden="1" x14ac:dyDescent="0.2">
      <c r="A136" s="42"/>
      <c r="B136" s="168"/>
      <c r="C136" s="169"/>
      <c r="D136" s="170"/>
      <c r="E136" s="171"/>
      <c r="F136" s="172"/>
      <c r="G136" s="172"/>
      <c r="H136" s="172"/>
      <c r="I136" s="188"/>
      <c r="J136" s="189"/>
      <c r="K136" s="188"/>
      <c r="L136" s="172"/>
      <c r="M136" s="172">
        <f t="shared" si="35"/>
        <v>0</v>
      </c>
      <c r="N136" s="172">
        <f t="shared" si="35"/>
        <v>0</v>
      </c>
      <c r="O136" s="178">
        <f t="shared" si="19"/>
        <v>0</v>
      </c>
      <c r="P136" s="92">
        <f t="shared" si="20"/>
        <v>0</v>
      </c>
    </row>
    <row r="137" spans="1:17" ht="18.75" hidden="1" x14ac:dyDescent="0.2">
      <c r="A137" s="42"/>
      <c r="B137" s="168"/>
      <c r="C137" s="169"/>
      <c r="D137" s="170"/>
      <c r="E137" s="171"/>
      <c r="F137" s="172"/>
      <c r="G137" s="172"/>
      <c r="H137" s="172"/>
      <c r="I137" s="188"/>
      <c r="J137" s="189"/>
      <c r="K137" s="188"/>
      <c r="L137" s="172"/>
      <c r="M137" s="172">
        <f t="shared" si="35"/>
        <v>0</v>
      </c>
      <c r="N137" s="172">
        <f t="shared" si="35"/>
        <v>0</v>
      </c>
      <c r="O137" s="178">
        <f t="shared" si="19"/>
        <v>0</v>
      </c>
      <c r="P137" s="92">
        <f t="shared" si="20"/>
        <v>0</v>
      </c>
    </row>
    <row r="138" spans="1:17" ht="31.5" hidden="1" x14ac:dyDescent="0.2">
      <c r="A138" s="42"/>
      <c r="B138" s="168" t="s">
        <v>131</v>
      </c>
      <c r="C138" s="169"/>
      <c r="D138" s="170" t="s">
        <v>132</v>
      </c>
      <c r="E138" s="171"/>
      <c r="F138" s="172"/>
      <c r="G138" s="172"/>
      <c r="H138" s="172">
        <f>SUM(G138)</f>
        <v>0</v>
      </c>
      <c r="I138" s="188"/>
      <c r="J138" s="189"/>
      <c r="K138" s="188"/>
      <c r="L138" s="172"/>
      <c r="M138" s="172">
        <f t="shared" si="35"/>
        <v>0</v>
      </c>
      <c r="N138" s="172">
        <f t="shared" si="35"/>
        <v>0</v>
      </c>
      <c r="O138" s="178">
        <f t="shared" si="19"/>
        <v>0</v>
      </c>
      <c r="P138" s="92">
        <f t="shared" si="20"/>
        <v>0</v>
      </c>
    </row>
    <row r="139" spans="1:17" ht="31.5" x14ac:dyDescent="0.2">
      <c r="A139" s="19" t="s">
        <v>156</v>
      </c>
      <c r="B139" s="182" t="s">
        <v>157</v>
      </c>
      <c r="C139" s="183" t="s">
        <v>158</v>
      </c>
      <c r="D139" s="184" t="s">
        <v>26</v>
      </c>
      <c r="E139" s="185"/>
      <c r="F139" s="186">
        <f t="shared" ref="F139:N139" si="36">F140+F147+F158+F190+F196</f>
        <v>231267.1</v>
      </c>
      <c r="G139" s="186">
        <f>G140+G147+G158+G190+G196</f>
        <v>2548</v>
      </c>
      <c r="H139" s="186">
        <f t="shared" si="36"/>
        <v>233815.1</v>
      </c>
      <c r="I139" s="187">
        <f t="shared" si="36"/>
        <v>1662799.2999999998</v>
      </c>
      <c r="J139" s="186">
        <f t="shared" si="36"/>
        <v>0</v>
      </c>
      <c r="K139" s="187">
        <f t="shared" si="36"/>
        <v>1662799.2999999998</v>
      </c>
      <c r="L139" s="186">
        <f t="shared" si="36"/>
        <v>1894066.4</v>
      </c>
      <c r="M139" s="186">
        <f t="shared" si="36"/>
        <v>2548</v>
      </c>
      <c r="N139" s="186">
        <f t="shared" si="36"/>
        <v>1896614.4</v>
      </c>
      <c r="O139" s="178">
        <f t="shared" si="19"/>
        <v>1896614.4</v>
      </c>
      <c r="P139" s="92">
        <f t="shared" si="20"/>
        <v>0</v>
      </c>
      <c r="Q139" s="25"/>
    </row>
    <row r="140" spans="1:17" ht="20.45" customHeight="1" x14ac:dyDescent="0.2">
      <c r="A140" s="49"/>
      <c r="B140" s="190" t="s">
        <v>159</v>
      </c>
      <c r="C140" s="191" t="s">
        <v>160</v>
      </c>
      <c r="D140" s="192" t="s">
        <v>26</v>
      </c>
      <c r="E140" s="193"/>
      <c r="F140" s="194">
        <f t="shared" ref="F140:N142" si="37">F141</f>
        <v>1798.4</v>
      </c>
      <c r="G140" s="194">
        <f>G141+G144</f>
        <v>0</v>
      </c>
      <c r="H140" s="194">
        <f>H141+H144</f>
        <v>1798.4</v>
      </c>
      <c r="I140" s="195">
        <f t="shared" si="37"/>
        <v>2934.3</v>
      </c>
      <c r="J140" s="196">
        <f>J141</f>
        <v>0</v>
      </c>
      <c r="K140" s="195">
        <f t="shared" si="37"/>
        <v>2934.3</v>
      </c>
      <c r="L140" s="194">
        <f>L141</f>
        <v>4732.7000000000007</v>
      </c>
      <c r="M140" s="194">
        <f>M141</f>
        <v>0</v>
      </c>
      <c r="N140" s="194">
        <f>SUM(N141+N144)</f>
        <v>4732.7000000000007</v>
      </c>
      <c r="O140" s="178">
        <f t="shared" si="19"/>
        <v>4732.7000000000007</v>
      </c>
      <c r="P140" s="92">
        <f t="shared" si="20"/>
        <v>0</v>
      </c>
    </row>
    <row r="141" spans="1:17" ht="31.5" x14ac:dyDescent="0.2">
      <c r="A141" s="42"/>
      <c r="B141" s="168" t="s">
        <v>161</v>
      </c>
      <c r="C141" s="169" t="s">
        <v>162</v>
      </c>
      <c r="D141" s="170" t="s">
        <v>26</v>
      </c>
      <c r="E141" s="171"/>
      <c r="F141" s="172">
        <f t="shared" si="37"/>
        <v>1798.4</v>
      </c>
      <c r="G141" s="172">
        <f t="shared" si="37"/>
        <v>0</v>
      </c>
      <c r="H141" s="172">
        <f t="shared" si="37"/>
        <v>1798.4</v>
      </c>
      <c r="I141" s="188">
        <f t="shared" si="37"/>
        <v>2934.3</v>
      </c>
      <c r="J141" s="189">
        <f>J142</f>
        <v>0</v>
      </c>
      <c r="K141" s="188">
        <f t="shared" si="37"/>
        <v>2934.3</v>
      </c>
      <c r="L141" s="172">
        <f t="shared" si="37"/>
        <v>4732.7000000000007</v>
      </c>
      <c r="M141" s="172">
        <f t="shared" si="37"/>
        <v>0</v>
      </c>
      <c r="N141" s="172">
        <f t="shared" si="37"/>
        <v>4732.7000000000007</v>
      </c>
      <c r="O141" s="178">
        <f t="shared" si="19"/>
        <v>4732.7000000000007</v>
      </c>
      <c r="P141" s="92">
        <f t="shared" si="20"/>
        <v>0</v>
      </c>
    </row>
    <row r="142" spans="1:17" ht="32.25" customHeight="1" x14ac:dyDescent="0.2">
      <c r="A142" s="42"/>
      <c r="B142" s="168" t="s">
        <v>163</v>
      </c>
      <c r="C142" s="169" t="s">
        <v>164</v>
      </c>
      <c r="D142" s="170" t="s">
        <v>26</v>
      </c>
      <c r="E142" s="171"/>
      <c r="F142" s="172">
        <f t="shared" si="37"/>
        <v>1798.4</v>
      </c>
      <c r="G142" s="172">
        <f t="shared" si="37"/>
        <v>0</v>
      </c>
      <c r="H142" s="172">
        <f t="shared" si="37"/>
        <v>1798.4</v>
      </c>
      <c r="I142" s="188">
        <f t="shared" si="37"/>
        <v>2934.3</v>
      </c>
      <c r="J142" s="189">
        <f>J143</f>
        <v>0</v>
      </c>
      <c r="K142" s="188">
        <f t="shared" si="37"/>
        <v>2934.3</v>
      </c>
      <c r="L142" s="172">
        <f t="shared" si="37"/>
        <v>4732.7000000000007</v>
      </c>
      <c r="M142" s="172">
        <f t="shared" si="37"/>
        <v>0</v>
      </c>
      <c r="N142" s="172">
        <f t="shared" si="37"/>
        <v>4732.7000000000007</v>
      </c>
      <c r="O142" s="178">
        <f t="shared" si="19"/>
        <v>4732.7000000000007</v>
      </c>
      <c r="P142" s="92">
        <f t="shared" si="20"/>
        <v>0</v>
      </c>
    </row>
    <row r="143" spans="1:17" ht="18.75" x14ac:dyDescent="0.2">
      <c r="A143" s="42"/>
      <c r="B143" s="168" t="s">
        <v>54</v>
      </c>
      <c r="C143" s="169" t="s">
        <v>164</v>
      </c>
      <c r="D143" s="170" t="s">
        <v>55</v>
      </c>
      <c r="E143" s="171"/>
      <c r="F143" s="172">
        <v>1798.4</v>
      </c>
      <c r="G143" s="172"/>
      <c r="H143" s="172">
        <f>SUM(F143+G143)</f>
        <v>1798.4</v>
      </c>
      <c r="I143" s="188">
        <v>2934.3</v>
      </c>
      <c r="J143" s="189"/>
      <c r="K143" s="188">
        <f>I143+J143</f>
        <v>2934.3</v>
      </c>
      <c r="L143" s="172">
        <f>SUM(F143+I143)</f>
        <v>4732.7000000000007</v>
      </c>
      <c r="M143" s="172">
        <f>G143+J143</f>
        <v>0</v>
      </c>
      <c r="N143" s="172">
        <f>SUM(H143+K143)</f>
        <v>4732.7000000000007</v>
      </c>
      <c r="O143" s="178">
        <f t="shared" si="19"/>
        <v>4732.7000000000007</v>
      </c>
      <c r="P143" s="92">
        <f t="shared" si="20"/>
        <v>0</v>
      </c>
    </row>
    <row r="144" spans="1:17" ht="0.75" customHeight="1" x14ac:dyDescent="0.2">
      <c r="A144" s="42"/>
      <c r="B144" s="168" t="s">
        <v>490</v>
      </c>
      <c r="C144" s="169" t="s">
        <v>489</v>
      </c>
      <c r="D144" s="170"/>
      <c r="E144" s="171"/>
      <c r="F144" s="172"/>
      <c r="G144" s="172">
        <f>SUM(G146)</f>
        <v>0</v>
      </c>
      <c r="H144" s="172">
        <f>SUM(H146)</f>
        <v>0</v>
      </c>
      <c r="I144" s="188"/>
      <c r="J144" s="189"/>
      <c r="K144" s="188"/>
      <c r="L144" s="172"/>
      <c r="M144" s="172">
        <f t="shared" ref="M144:N146" si="38">SUM(G144)</f>
        <v>0</v>
      </c>
      <c r="N144" s="172">
        <f t="shared" si="38"/>
        <v>0</v>
      </c>
      <c r="O144" s="178">
        <f t="shared" si="19"/>
        <v>0</v>
      </c>
      <c r="P144" s="92">
        <f t="shared" si="20"/>
        <v>0</v>
      </c>
    </row>
    <row r="145" spans="1:17" ht="47.25" hidden="1" x14ac:dyDescent="0.2">
      <c r="A145" s="42"/>
      <c r="B145" s="168" t="s">
        <v>492</v>
      </c>
      <c r="C145" s="169" t="s">
        <v>491</v>
      </c>
      <c r="D145" s="170"/>
      <c r="E145" s="171"/>
      <c r="F145" s="172"/>
      <c r="G145" s="172">
        <f>SUM(G146)</f>
        <v>0</v>
      </c>
      <c r="H145" s="172">
        <f>SUM(H146)</f>
        <v>0</v>
      </c>
      <c r="I145" s="188"/>
      <c r="J145" s="189"/>
      <c r="K145" s="188"/>
      <c r="L145" s="172"/>
      <c r="M145" s="172">
        <f t="shared" si="38"/>
        <v>0</v>
      </c>
      <c r="N145" s="172">
        <f t="shared" si="38"/>
        <v>0</v>
      </c>
      <c r="O145" s="178">
        <f t="shared" si="19"/>
        <v>0</v>
      </c>
      <c r="P145" s="92">
        <f t="shared" si="20"/>
        <v>0</v>
      </c>
    </row>
    <row r="146" spans="1:17" ht="31.5" hidden="1" x14ac:dyDescent="0.2">
      <c r="A146" s="42"/>
      <c r="B146" s="168" t="s">
        <v>131</v>
      </c>
      <c r="C146" s="169" t="s">
        <v>491</v>
      </c>
      <c r="D146" s="170" t="s">
        <v>132</v>
      </c>
      <c r="E146" s="171"/>
      <c r="F146" s="172"/>
      <c r="G146" s="172"/>
      <c r="H146" s="172">
        <f>SUM(G146)</f>
        <v>0</v>
      </c>
      <c r="I146" s="188"/>
      <c r="J146" s="189"/>
      <c r="K146" s="188"/>
      <c r="L146" s="172"/>
      <c r="M146" s="172">
        <f t="shared" si="38"/>
        <v>0</v>
      </c>
      <c r="N146" s="172">
        <f t="shared" si="38"/>
        <v>0</v>
      </c>
      <c r="O146" s="178">
        <f t="shared" si="19"/>
        <v>0</v>
      </c>
      <c r="P146" s="92">
        <f t="shared" si="20"/>
        <v>0</v>
      </c>
    </row>
    <row r="147" spans="1:17" ht="31.5" x14ac:dyDescent="0.2">
      <c r="A147" s="49"/>
      <c r="B147" s="190" t="s">
        <v>165</v>
      </c>
      <c r="C147" s="191" t="s">
        <v>166</v>
      </c>
      <c r="D147" s="192" t="s">
        <v>26</v>
      </c>
      <c r="E147" s="193"/>
      <c r="F147" s="194">
        <f t="shared" ref="F147:N147" si="39">F148</f>
        <v>9123.2000000000007</v>
      </c>
      <c r="G147" s="194">
        <f t="shared" si="39"/>
        <v>0</v>
      </c>
      <c r="H147" s="194">
        <f t="shared" si="39"/>
        <v>9123.2000000000007</v>
      </c>
      <c r="I147" s="195">
        <f t="shared" si="39"/>
        <v>1576707.7999999998</v>
      </c>
      <c r="J147" s="194">
        <f t="shared" si="39"/>
        <v>0</v>
      </c>
      <c r="K147" s="195">
        <f t="shared" si="39"/>
        <v>1576707.7999999998</v>
      </c>
      <c r="L147" s="194">
        <f t="shared" si="39"/>
        <v>1585831</v>
      </c>
      <c r="M147" s="194">
        <f t="shared" si="39"/>
        <v>0</v>
      </c>
      <c r="N147" s="194">
        <f t="shared" si="39"/>
        <v>1585831</v>
      </c>
      <c r="O147" s="178">
        <f t="shared" si="19"/>
        <v>1585831</v>
      </c>
      <c r="P147" s="92">
        <f t="shared" si="20"/>
        <v>0</v>
      </c>
      <c r="Q147" s="55"/>
    </row>
    <row r="148" spans="1:17" ht="39.6" customHeight="1" x14ac:dyDescent="0.2">
      <c r="A148" s="42"/>
      <c r="B148" s="168" t="s">
        <v>167</v>
      </c>
      <c r="C148" s="169" t="s">
        <v>168</v>
      </c>
      <c r="D148" s="170" t="s">
        <v>26</v>
      </c>
      <c r="E148" s="171"/>
      <c r="F148" s="172">
        <f>F149+F152+F154+F156</f>
        <v>9123.2000000000007</v>
      </c>
      <c r="G148" s="172">
        <f>SUM(G149+G156)+G152</f>
        <v>0</v>
      </c>
      <c r="H148" s="172">
        <f>H149+H152+H154+H156</f>
        <v>9123.2000000000007</v>
      </c>
      <c r="I148" s="188">
        <f t="shared" ref="I148:N148" si="40">I149+I152+I154+I156</f>
        <v>1576707.7999999998</v>
      </c>
      <c r="J148" s="172">
        <f>SUM(J152+J156)</f>
        <v>0</v>
      </c>
      <c r="K148" s="188">
        <f t="shared" si="40"/>
        <v>1576707.7999999998</v>
      </c>
      <c r="L148" s="172">
        <f t="shared" si="40"/>
        <v>1585831</v>
      </c>
      <c r="M148" s="172">
        <f>SUM(G148+J148)</f>
        <v>0</v>
      </c>
      <c r="N148" s="172">
        <f t="shared" si="40"/>
        <v>1585831</v>
      </c>
      <c r="O148" s="178">
        <f t="shared" si="19"/>
        <v>1585831</v>
      </c>
      <c r="P148" s="92">
        <f t="shared" si="20"/>
        <v>0</v>
      </c>
      <c r="Q148" s="48"/>
    </row>
    <row r="149" spans="1:17" ht="18.75" x14ac:dyDescent="0.2">
      <c r="A149" s="42"/>
      <c r="B149" s="168" t="s">
        <v>169</v>
      </c>
      <c r="C149" s="169" t="s">
        <v>170</v>
      </c>
      <c r="D149" s="170" t="s">
        <v>26</v>
      </c>
      <c r="E149" s="171"/>
      <c r="F149" s="172">
        <f>F150+F151</f>
        <v>183</v>
      </c>
      <c r="G149" s="172">
        <f>G150+G151</f>
        <v>0</v>
      </c>
      <c r="H149" s="172">
        <f>H150+H151</f>
        <v>183</v>
      </c>
      <c r="I149" s="188">
        <f>I150</f>
        <v>1529.5</v>
      </c>
      <c r="J149" s="172">
        <f>J150</f>
        <v>0</v>
      </c>
      <c r="K149" s="188">
        <f>K150</f>
        <v>1529.5</v>
      </c>
      <c r="L149" s="172">
        <f>L150+L151</f>
        <v>1712.5</v>
      </c>
      <c r="M149" s="172">
        <f>M150+M151</f>
        <v>0</v>
      </c>
      <c r="N149" s="172">
        <f>N150+N151</f>
        <v>1712.5</v>
      </c>
      <c r="O149" s="178">
        <f t="shared" ref="O149:O214" si="41">L149+M149</f>
        <v>1712.5</v>
      </c>
      <c r="P149" s="92">
        <f t="shared" ref="P149:P214" si="42">O149-N149</f>
        <v>0</v>
      </c>
    </row>
    <row r="150" spans="1:17" ht="31.5" x14ac:dyDescent="0.2">
      <c r="A150" s="42"/>
      <c r="B150" s="168" t="s">
        <v>35</v>
      </c>
      <c r="C150" s="169" t="s">
        <v>170</v>
      </c>
      <c r="D150" s="170" t="s">
        <v>36</v>
      </c>
      <c r="E150" s="171"/>
      <c r="F150" s="172">
        <v>152.19999999999999</v>
      </c>
      <c r="G150" s="172"/>
      <c r="H150" s="172">
        <f>SUM(F150+G150)</f>
        <v>152.19999999999999</v>
      </c>
      <c r="I150" s="188">
        <v>1529.5</v>
      </c>
      <c r="J150" s="189"/>
      <c r="K150" s="189">
        <f>SUM(I150)</f>
        <v>1529.5</v>
      </c>
      <c r="L150" s="172">
        <f>F150+I150</f>
        <v>1681.7</v>
      </c>
      <c r="M150" s="172">
        <f>G150+J150</f>
        <v>0</v>
      </c>
      <c r="N150" s="172">
        <f>H150+K150</f>
        <v>1681.7</v>
      </c>
      <c r="O150" s="178">
        <f t="shared" si="41"/>
        <v>1681.7</v>
      </c>
      <c r="P150" s="92">
        <f t="shared" si="42"/>
        <v>0</v>
      </c>
    </row>
    <row r="151" spans="1:17" ht="31.5" x14ac:dyDescent="0.2">
      <c r="A151" s="42"/>
      <c r="B151" s="168" t="s">
        <v>131</v>
      </c>
      <c r="C151" s="169" t="s">
        <v>170</v>
      </c>
      <c r="D151" s="170" t="s">
        <v>132</v>
      </c>
      <c r="E151" s="171"/>
      <c r="F151" s="172">
        <v>30.8</v>
      </c>
      <c r="G151" s="172"/>
      <c r="H151" s="172">
        <f>SUM(F151)+G151</f>
        <v>30.8</v>
      </c>
      <c r="I151" s="188"/>
      <c r="J151" s="189"/>
      <c r="K151" s="189"/>
      <c r="L151" s="172">
        <f>SUM(F151)</f>
        <v>30.8</v>
      </c>
      <c r="M151" s="172">
        <f>SUM(G151)</f>
        <v>0</v>
      </c>
      <c r="N151" s="172">
        <f>SUM(H151)</f>
        <v>30.8</v>
      </c>
      <c r="O151" s="178">
        <f t="shared" si="41"/>
        <v>30.8</v>
      </c>
      <c r="P151" s="92">
        <f t="shared" si="42"/>
        <v>0</v>
      </c>
    </row>
    <row r="152" spans="1:17" ht="20.45" customHeight="1" x14ac:dyDescent="0.2">
      <c r="A152" s="42"/>
      <c r="B152" s="168" t="s">
        <v>171</v>
      </c>
      <c r="C152" s="169" t="s">
        <v>172</v>
      </c>
      <c r="D152" s="170" t="s">
        <v>26</v>
      </c>
      <c r="E152" s="171"/>
      <c r="F152" s="172">
        <f t="shared" ref="F152:N152" si="43">F153</f>
        <v>7807.5</v>
      </c>
      <c r="G152" s="172">
        <f t="shared" si="43"/>
        <v>0</v>
      </c>
      <c r="H152" s="172">
        <f t="shared" si="43"/>
        <v>7807.5</v>
      </c>
      <c r="I152" s="188">
        <f t="shared" si="43"/>
        <v>1553657.4</v>
      </c>
      <c r="J152" s="189">
        <f t="shared" si="43"/>
        <v>0</v>
      </c>
      <c r="K152" s="188">
        <f t="shared" si="43"/>
        <v>1553657.4</v>
      </c>
      <c r="L152" s="172">
        <f t="shared" si="43"/>
        <v>1561464.9</v>
      </c>
      <c r="M152" s="172">
        <f t="shared" si="43"/>
        <v>0</v>
      </c>
      <c r="N152" s="172">
        <f t="shared" si="43"/>
        <v>1561464.9</v>
      </c>
      <c r="O152" s="178">
        <f t="shared" si="41"/>
        <v>1561464.9</v>
      </c>
      <c r="P152" s="92">
        <f t="shared" si="42"/>
        <v>0</v>
      </c>
    </row>
    <row r="153" spans="1:17" ht="31.5" x14ac:dyDescent="0.2">
      <c r="A153" s="42"/>
      <c r="B153" s="168" t="s">
        <v>131</v>
      </c>
      <c r="C153" s="169" t="s">
        <v>172</v>
      </c>
      <c r="D153" s="170" t="s">
        <v>132</v>
      </c>
      <c r="E153" s="171"/>
      <c r="F153" s="172">
        <v>7807.5</v>
      </c>
      <c r="G153" s="172"/>
      <c r="H153" s="172">
        <v>7807.5</v>
      </c>
      <c r="I153" s="188">
        <v>1553657.4</v>
      </c>
      <c r="J153" s="189"/>
      <c r="K153" s="188">
        <v>1553657.4</v>
      </c>
      <c r="L153" s="172">
        <f>SUM(F153+I153)</f>
        <v>1561464.9</v>
      </c>
      <c r="M153" s="172">
        <f>SUM(G153)+J153</f>
        <v>0</v>
      </c>
      <c r="N153" s="172">
        <f>SUM(H153+K153)</f>
        <v>1561464.9</v>
      </c>
      <c r="O153" s="178">
        <f t="shared" si="41"/>
        <v>1561464.9</v>
      </c>
      <c r="P153" s="92">
        <f t="shared" si="42"/>
        <v>0</v>
      </c>
    </row>
    <row r="154" spans="1:17" ht="18.75" x14ac:dyDescent="0.2">
      <c r="A154" s="42"/>
      <c r="B154" s="168" t="s">
        <v>173</v>
      </c>
      <c r="C154" s="169" t="s">
        <v>174</v>
      </c>
      <c r="D154" s="170" t="s">
        <v>26</v>
      </c>
      <c r="E154" s="171"/>
      <c r="F154" s="172">
        <f>F155</f>
        <v>386.1</v>
      </c>
      <c r="G154" s="172">
        <f>G155</f>
        <v>0</v>
      </c>
      <c r="H154" s="172">
        <f>H155</f>
        <v>386.1</v>
      </c>
      <c r="I154" s="188">
        <f>I155</f>
        <v>7335.5</v>
      </c>
      <c r="J154" s="189"/>
      <c r="K154" s="188">
        <f>K155</f>
        <v>7335.5</v>
      </c>
      <c r="L154" s="172">
        <f>L155</f>
        <v>7721.6</v>
      </c>
      <c r="M154" s="172">
        <f>M155</f>
        <v>0</v>
      </c>
      <c r="N154" s="172">
        <f>N155</f>
        <v>7721.6</v>
      </c>
      <c r="O154" s="178">
        <f t="shared" si="41"/>
        <v>7721.6</v>
      </c>
      <c r="P154" s="92">
        <f t="shared" si="42"/>
        <v>0</v>
      </c>
    </row>
    <row r="155" spans="1:17" ht="31.5" x14ac:dyDescent="0.2">
      <c r="A155" s="42"/>
      <c r="B155" s="168" t="s">
        <v>131</v>
      </c>
      <c r="C155" s="169" t="s">
        <v>174</v>
      </c>
      <c r="D155" s="170" t="s">
        <v>132</v>
      </c>
      <c r="E155" s="171"/>
      <c r="F155" s="172">
        <v>386.1</v>
      </c>
      <c r="G155" s="172"/>
      <c r="H155" s="172">
        <f>SUM(F155)</f>
        <v>386.1</v>
      </c>
      <c r="I155" s="188">
        <f>14200-6864.5</f>
        <v>7335.5</v>
      </c>
      <c r="J155" s="189"/>
      <c r="K155" s="188">
        <f>14200-6864.5</f>
        <v>7335.5</v>
      </c>
      <c r="L155" s="188">
        <f>SUM(F155+I155)</f>
        <v>7721.6</v>
      </c>
      <c r="M155" s="172">
        <f>SUM(G155)</f>
        <v>0</v>
      </c>
      <c r="N155" s="188">
        <f>SUM(H155+K155)</f>
        <v>7721.6</v>
      </c>
      <c r="O155" s="178">
        <f t="shared" si="41"/>
        <v>7721.6</v>
      </c>
      <c r="P155" s="92">
        <f t="shared" si="42"/>
        <v>0</v>
      </c>
    </row>
    <row r="156" spans="1:17" ht="18.75" x14ac:dyDescent="0.2">
      <c r="A156" s="42"/>
      <c r="B156" s="168" t="s">
        <v>175</v>
      </c>
      <c r="C156" s="169" t="s">
        <v>176</v>
      </c>
      <c r="D156" s="170" t="s">
        <v>26</v>
      </c>
      <c r="E156" s="171"/>
      <c r="F156" s="172">
        <f>F157</f>
        <v>746.6</v>
      </c>
      <c r="G156" s="172">
        <f>G157</f>
        <v>0</v>
      </c>
      <c r="H156" s="172">
        <f>H157</f>
        <v>746.6</v>
      </c>
      <c r="I156" s="188">
        <f>I157</f>
        <v>14185.4</v>
      </c>
      <c r="J156" s="189"/>
      <c r="K156" s="188">
        <f>K157</f>
        <v>14185.4</v>
      </c>
      <c r="L156" s="172">
        <f>L157</f>
        <v>14932</v>
      </c>
      <c r="M156" s="172">
        <f>M157</f>
        <v>0</v>
      </c>
      <c r="N156" s="172">
        <f>N157</f>
        <v>14932</v>
      </c>
      <c r="O156" s="178">
        <f t="shared" si="41"/>
        <v>14932</v>
      </c>
      <c r="P156" s="92">
        <f t="shared" si="42"/>
        <v>0</v>
      </c>
    </row>
    <row r="157" spans="1:17" ht="31.5" x14ac:dyDescent="0.2">
      <c r="A157" s="42"/>
      <c r="B157" s="168" t="s">
        <v>131</v>
      </c>
      <c r="C157" s="169" t="s">
        <v>176</v>
      </c>
      <c r="D157" s="170" t="s">
        <v>132</v>
      </c>
      <c r="E157" s="171"/>
      <c r="F157" s="172">
        <v>746.6</v>
      </c>
      <c r="G157" s="172"/>
      <c r="H157" s="172">
        <f>663.2+83.4</f>
        <v>746.6</v>
      </c>
      <c r="I157" s="188">
        <v>14185.4</v>
      </c>
      <c r="J157" s="189"/>
      <c r="K157" s="188">
        <f>SUM(I157)</f>
        <v>14185.4</v>
      </c>
      <c r="L157" s="172">
        <f>SUM(F157+I157)</f>
        <v>14932</v>
      </c>
      <c r="M157" s="172">
        <f>SUM(J157)+G157</f>
        <v>0</v>
      </c>
      <c r="N157" s="172">
        <f>SUM(H157+K157)</f>
        <v>14932</v>
      </c>
      <c r="O157" s="178">
        <f t="shared" si="41"/>
        <v>14932</v>
      </c>
      <c r="P157" s="92">
        <f t="shared" si="42"/>
        <v>0</v>
      </c>
    </row>
    <row r="158" spans="1:17" ht="18.75" x14ac:dyDescent="0.2">
      <c r="A158" s="49"/>
      <c r="B158" s="190" t="s">
        <v>177</v>
      </c>
      <c r="C158" s="191" t="s">
        <v>178</v>
      </c>
      <c r="D158" s="192" t="s">
        <v>26</v>
      </c>
      <c r="E158" s="193"/>
      <c r="F158" s="194">
        <f t="shared" ref="F158:N158" si="44">F159</f>
        <v>69560.100000000006</v>
      </c>
      <c r="G158" s="194">
        <f t="shared" si="44"/>
        <v>1225.3</v>
      </c>
      <c r="H158" s="194">
        <f t="shared" si="44"/>
        <v>70785.399999999994</v>
      </c>
      <c r="I158" s="195">
        <f t="shared" si="44"/>
        <v>11157.199999999999</v>
      </c>
      <c r="J158" s="195">
        <f t="shared" si="44"/>
        <v>0</v>
      </c>
      <c r="K158" s="195">
        <f t="shared" si="44"/>
        <v>11157.199999999999</v>
      </c>
      <c r="L158" s="194">
        <f t="shared" si="44"/>
        <v>80717.299999999988</v>
      </c>
      <c r="M158" s="194">
        <f t="shared" si="44"/>
        <v>1225.3</v>
      </c>
      <c r="N158" s="194">
        <f t="shared" si="44"/>
        <v>81942.599999999991</v>
      </c>
      <c r="O158" s="178">
        <f t="shared" si="41"/>
        <v>81942.599999999991</v>
      </c>
      <c r="P158" s="92">
        <f t="shared" si="42"/>
        <v>0</v>
      </c>
      <c r="Q158" s="55"/>
    </row>
    <row r="159" spans="1:17" ht="34.9" customHeight="1" x14ac:dyDescent="0.2">
      <c r="A159" s="42"/>
      <c r="B159" s="168" t="s">
        <v>179</v>
      </c>
      <c r="C159" s="169" t="s">
        <v>180</v>
      </c>
      <c r="D159" s="170" t="s">
        <v>26</v>
      </c>
      <c r="E159" s="171"/>
      <c r="F159" s="172">
        <f>F160+F162+F164+F166+F172+F174+F168+F184+F180</f>
        <v>69560.100000000006</v>
      </c>
      <c r="G159" s="172">
        <f>G160+G162+G164+G166+G168+G172+G174+G180+G182+G184</f>
        <v>1225.3</v>
      </c>
      <c r="H159" s="172">
        <f>H160+H162+H164+H166+H172+H174+H168+H184+H180</f>
        <v>70785.399999999994</v>
      </c>
      <c r="I159" s="188">
        <f>SUM(I162+I170+I182+I184)+I180</f>
        <v>11157.199999999999</v>
      </c>
      <c r="J159" s="189">
        <f>SUM(J184)+J180+J182+J170</f>
        <v>0</v>
      </c>
      <c r="K159" s="188">
        <f>SUM(K162+K170+K182+K184)+K180</f>
        <v>11157.199999999999</v>
      </c>
      <c r="L159" s="172">
        <f>SUM(L160+L162+L164+L166+L168+L170+L172+L174+L180+L182+L184)</f>
        <v>80717.299999999988</v>
      </c>
      <c r="M159" s="172">
        <f>M160+M162+M164+M166+M168+M172+M174+M180+M182+M184</f>
        <v>1225.3</v>
      </c>
      <c r="N159" s="172">
        <f>SUM(N160+N162+N164+N166+N168+N170+N172+N174+N180+N182+N184)</f>
        <v>81942.599999999991</v>
      </c>
      <c r="O159" s="178">
        <f t="shared" si="41"/>
        <v>81942.599999999991</v>
      </c>
      <c r="P159" s="92">
        <f t="shared" si="42"/>
        <v>0</v>
      </c>
      <c r="Q159" s="48"/>
    </row>
    <row r="160" spans="1:17" ht="18.75" x14ac:dyDescent="0.2">
      <c r="A160" s="42"/>
      <c r="B160" s="168" t="s">
        <v>181</v>
      </c>
      <c r="C160" s="169" t="s">
        <v>182</v>
      </c>
      <c r="D160" s="170" t="s">
        <v>26</v>
      </c>
      <c r="E160" s="171"/>
      <c r="F160" s="172">
        <f>F161</f>
        <v>26890.7</v>
      </c>
      <c r="G160" s="172">
        <f>G161</f>
        <v>0</v>
      </c>
      <c r="H160" s="172">
        <f>H161</f>
        <v>26890.7</v>
      </c>
      <c r="I160" s="188">
        <f>I161</f>
        <v>0</v>
      </c>
      <c r="J160" s="189"/>
      <c r="K160" s="188">
        <f>K161</f>
        <v>0</v>
      </c>
      <c r="L160" s="172">
        <f>L161</f>
        <v>26890.7</v>
      </c>
      <c r="M160" s="172">
        <f>M161</f>
        <v>0</v>
      </c>
      <c r="N160" s="172">
        <f>N161</f>
        <v>26890.7</v>
      </c>
      <c r="O160" s="178">
        <f t="shared" si="41"/>
        <v>26890.7</v>
      </c>
      <c r="P160" s="92">
        <f t="shared" si="42"/>
        <v>0</v>
      </c>
    </row>
    <row r="161" spans="1:17" ht="31.5" x14ac:dyDescent="0.2">
      <c r="A161" s="42"/>
      <c r="B161" s="168" t="s">
        <v>35</v>
      </c>
      <c r="C161" s="169" t="s">
        <v>182</v>
      </c>
      <c r="D161" s="170" t="s">
        <v>36</v>
      </c>
      <c r="E161" s="171"/>
      <c r="F161" s="172">
        <v>26890.7</v>
      </c>
      <c r="G161" s="172"/>
      <c r="H161" s="172">
        <f>SUM(F161)+G161</f>
        <v>26890.7</v>
      </c>
      <c r="I161" s="188">
        <v>0</v>
      </c>
      <c r="J161" s="189"/>
      <c r="K161" s="188">
        <v>0</v>
      </c>
      <c r="L161" s="172">
        <f>SUM(F161)</f>
        <v>26890.7</v>
      </c>
      <c r="M161" s="172">
        <f>SUM(G161)</f>
        <v>0</v>
      </c>
      <c r="N161" s="172">
        <f>SUM(H161)</f>
        <v>26890.7</v>
      </c>
      <c r="O161" s="178">
        <f t="shared" si="41"/>
        <v>26890.7</v>
      </c>
      <c r="P161" s="92">
        <f t="shared" si="42"/>
        <v>0</v>
      </c>
    </row>
    <row r="162" spans="1:17" ht="18.75" x14ac:dyDescent="0.2">
      <c r="A162" s="42"/>
      <c r="B162" s="168" t="s">
        <v>183</v>
      </c>
      <c r="C162" s="169" t="s">
        <v>184</v>
      </c>
      <c r="D162" s="170" t="s">
        <v>26</v>
      </c>
      <c r="E162" s="171"/>
      <c r="F162" s="172">
        <f t="shared" ref="F162:N162" si="45">F163</f>
        <v>16803.599999999999</v>
      </c>
      <c r="G162" s="172">
        <f t="shared" si="45"/>
        <v>1225.3</v>
      </c>
      <c r="H162" s="172">
        <f t="shared" si="45"/>
        <v>18028.899999999998</v>
      </c>
      <c r="I162" s="188">
        <f t="shared" si="45"/>
        <v>75</v>
      </c>
      <c r="J162" s="172">
        <f t="shared" si="45"/>
        <v>0</v>
      </c>
      <c r="K162" s="188">
        <f t="shared" si="45"/>
        <v>75</v>
      </c>
      <c r="L162" s="172">
        <f t="shared" si="45"/>
        <v>16878.599999999999</v>
      </c>
      <c r="M162" s="172">
        <f t="shared" si="45"/>
        <v>1225.3</v>
      </c>
      <c r="N162" s="172">
        <f t="shared" si="45"/>
        <v>18103.899999999998</v>
      </c>
      <c r="O162" s="178">
        <f t="shared" si="41"/>
        <v>18103.899999999998</v>
      </c>
      <c r="P162" s="92">
        <f t="shared" si="42"/>
        <v>0</v>
      </c>
    </row>
    <row r="163" spans="1:17" ht="31.5" x14ac:dyDescent="0.2">
      <c r="A163" s="42"/>
      <c r="B163" s="168" t="s">
        <v>35</v>
      </c>
      <c r="C163" s="169" t="s">
        <v>184</v>
      </c>
      <c r="D163" s="170" t="s">
        <v>36</v>
      </c>
      <c r="E163" s="171"/>
      <c r="F163" s="172">
        <v>16803.599999999999</v>
      </c>
      <c r="G163" s="172">
        <v>1225.3</v>
      </c>
      <c r="H163" s="172">
        <f>SUM(F163)+G163</f>
        <v>18028.899999999998</v>
      </c>
      <c r="I163" s="188">
        <v>75</v>
      </c>
      <c r="J163" s="189"/>
      <c r="K163" s="188">
        <f>SUM(I163)</f>
        <v>75</v>
      </c>
      <c r="L163" s="172">
        <f>SUM(F163+I163)</f>
        <v>16878.599999999999</v>
      </c>
      <c r="M163" s="172">
        <f>SUM(J163)+G163</f>
        <v>1225.3</v>
      </c>
      <c r="N163" s="172">
        <f>SUM(H163+K163)</f>
        <v>18103.899999999998</v>
      </c>
      <c r="O163" s="178">
        <f t="shared" si="41"/>
        <v>18103.899999999998</v>
      </c>
      <c r="P163" s="92">
        <f t="shared" si="42"/>
        <v>0</v>
      </c>
    </row>
    <row r="164" spans="1:17" ht="18.75" x14ac:dyDescent="0.2">
      <c r="A164" s="42"/>
      <c r="B164" s="168" t="s">
        <v>185</v>
      </c>
      <c r="C164" s="169" t="s">
        <v>186</v>
      </c>
      <c r="D164" s="170" t="s">
        <v>26</v>
      </c>
      <c r="E164" s="171"/>
      <c r="F164" s="172">
        <f>F165</f>
        <v>3522.9</v>
      </c>
      <c r="G164" s="172">
        <f>G165</f>
        <v>0</v>
      </c>
      <c r="H164" s="172">
        <f>H165</f>
        <v>3522.9</v>
      </c>
      <c r="I164" s="188">
        <f>I165</f>
        <v>0</v>
      </c>
      <c r="J164" s="189"/>
      <c r="K164" s="188">
        <f>K165</f>
        <v>0</v>
      </c>
      <c r="L164" s="172">
        <f>L165</f>
        <v>3522.9</v>
      </c>
      <c r="M164" s="172">
        <f>M165</f>
        <v>0</v>
      </c>
      <c r="N164" s="172">
        <f>N165</f>
        <v>3522.9</v>
      </c>
      <c r="O164" s="178">
        <f t="shared" si="41"/>
        <v>3522.9</v>
      </c>
      <c r="P164" s="92">
        <f t="shared" si="42"/>
        <v>0</v>
      </c>
    </row>
    <row r="165" spans="1:17" ht="31.5" x14ac:dyDescent="0.2">
      <c r="A165" s="42"/>
      <c r="B165" s="168" t="s">
        <v>35</v>
      </c>
      <c r="C165" s="169" t="s">
        <v>186</v>
      </c>
      <c r="D165" s="170" t="s">
        <v>36</v>
      </c>
      <c r="E165" s="171"/>
      <c r="F165" s="172">
        <v>3522.9</v>
      </c>
      <c r="G165" s="172"/>
      <c r="H165" s="172">
        <f>SUM(F165)+G165</f>
        <v>3522.9</v>
      </c>
      <c r="I165" s="188">
        <v>0</v>
      </c>
      <c r="J165" s="189"/>
      <c r="K165" s="188">
        <v>0</v>
      </c>
      <c r="L165" s="172">
        <f>SUM(F165)</f>
        <v>3522.9</v>
      </c>
      <c r="M165" s="172">
        <f>SUM(G165)</f>
        <v>0</v>
      </c>
      <c r="N165" s="172">
        <f>SUM(L165)+M165</f>
        <v>3522.9</v>
      </c>
      <c r="O165" s="178">
        <f t="shared" si="41"/>
        <v>3522.9</v>
      </c>
      <c r="P165" s="92">
        <f t="shared" si="42"/>
        <v>0</v>
      </c>
      <c r="Q165" s="43"/>
    </row>
    <row r="166" spans="1:17" ht="18.75" x14ac:dyDescent="0.2">
      <c r="A166" s="42"/>
      <c r="B166" s="168" t="s">
        <v>187</v>
      </c>
      <c r="C166" s="169" t="s">
        <v>188</v>
      </c>
      <c r="D166" s="170" t="s">
        <v>26</v>
      </c>
      <c r="E166" s="171"/>
      <c r="F166" s="172">
        <f>F167</f>
        <v>3204</v>
      </c>
      <c r="G166" s="172">
        <f>G167</f>
        <v>0</v>
      </c>
      <c r="H166" s="172">
        <f>H167</f>
        <v>3204</v>
      </c>
      <c r="I166" s="188">
        <f>I167</f>
        <v>0</v>
      </c>
      <c r="J166" s="189"/>
      <c r="K166" s="188">
        <f>K167</f>
        <v>0</v>
      </c>
      <c r="L166" s="172">
        <f>L167</f>
        <v>3204</v>
      </c>
      <c r="M166" s="172">
        <f>M167</f>
        <v>0</v>
      </c>
      <c r="N166" s="172">
        <f>N167</f>
        <v>3204</v>
      </c>
      <c r="O166" s="178">
        <f t="shared" si="41"/>
        <v>3204</v>
      </c>
      <c r="P166" s="92">
        <f t="shared" si="42"/>
        <v>0</v>
      </c>
    </row>
    <row r="167" spans="1:17" ht="31.5" x14ac:dyDescent="0.2">
      <c r="A167" s="42"/>
      <c r="B167" s="168" t="s">
        <v>35</v>
      </c>
      <c r="C167" s="169" t="s">
        <v>188</v>
      </c>
      <c r="D167" s="170" t="s">
        <v>36</v>
      </c>
      <c r="E167" s="171"/>
      <c r="F167" s="172">
        <v>3204</v>
      </c>
      <c r="G167" s="172"/>
      <c r="H167" s="172">
        <f>SUM(F167)+G167</f>
        <v>3204</v>
      </c>
      <c r="I167" s="188">
        <v>0</v>
      </c>
      <c r="J167" s="189"/>
      <c r="K167" s="188">
        <v>0</v>
      </c>
      <c r="L167" s="172">
        <f t="shared" ref="L167:N169" si="46">SUM(F167)</f>
        <v>3204</v>
      </c>
      <c r="M167" s="172">
        <f t="shared" si="46"/>
        <v>0</v>
      </c>
      <c r="N167" s="172">
        <f t="shared" si="46"/>
        <v>3204</v>
      </c>
      <c r="O167" s="178">
        <f t="shared" si="41"/>
        <v>3204</v>
      </c>
      <c r="P167" s="92">
        <f t="shared" si="42"/>
        <v>0</v>
      </c>
    </row>
    <row r="168" spans="1:17" ht="27" customHeight="1" x14ac:dyDescent="0.2">
      <c r="A168" s="42"/>
      <c r="B168" s="168" t="s">
        <v>189</v>
      </c>
      <c r="C168" s="169" t="s">
        <v>190</v>
      </c>
      <c r="D168" s="170"/>
      <c r="E168" s="171"/>
      <c r="F168" s="172">
        <v>583.6</v>
      </c>
      <c r="G168" s="172">
        <f>G169</f>
        <v>0</v>
      </c>
      <c r="H168" s="172">
        <f>SUM(F168)+G168</f>
        <v>583.6</v>
      </c>
      <c r="I168" s="188"/>
      <c r="J168" s="189"/>
      <c r="K168" s="188"/>
      <c r="L168" s="172">
        <f t="shared" si="46"/>
        <v>583.6</v>
      </c>
      <c r="M168" s="172">
        <f t="shared" si="46"/>
        <v>0</v>
      </c>
      <c r="N168" s="172">
        <f t="shared" si="46"/>
        <v>583.6</v>
      </c>
      <c r="O168" s="178">
        <f t="shared" si="41"/>
        <v>583.6</v>
      </c>
      <c r="P168" s="92">
        <f t="shared" si="42"/>
        <v>0</v>
      </c>
    </row>
    <row r="169" spans="1:17" ht="31.5" x14ac:dyDescent="0.2">
      <c r="A169" s="42"/>
      <c r="B169" s="168" t="s">
        <v>35</v>
      </c>
      <c r="C169" s="169" t="s">
        <v>190</v>
      </c>
      <c r="D169" s="170" t="s">
        <v>36</v>
      </c>
      <c r="E169" s="171"/>
      <c r="F169" s="172">
        <v>583.6</v>
      </c>
      <c r="G169" s="172"/>
      <c r="H169" s="172">
        <f>SUM(F169)+G169</f>
        <v>583.6</v>
      </c>
      <c r="I169" s="188"/>
      <c r="J169" s="189"/>
      <c r="K169" s="188"/>
      <c r="L169" s="172">
        <f t="shared" si="46"/>
        <v>583.6</v>
      </c>
      <c r="M169" s="172">
        <f t="shared" si="46"/>
        <v>0</v>
      </c>
      <c r="N169" s="172">
        <f t="shared" si="46"/>
        <v>583.6</v>
      </c>
      <c r="O169" s="178">
        <f t="shared" si="41"/>
        <v>583.6</v>
      </c>
      <c r="P169" s="92">
        <f t="shared" si="42"/>
        <v>0</v>
      </c>
    </row>
    <row r="170" spans="1:17" ht="18.75" x14ac:dyDescent="0.2">
      <c r="A170" s="42"/>
      <c r="B170" s="202" t="s">
        <v>482</v>
      </c>
      <c r="C170" s="169" t="s">
        <v>481</v>
      </c>
      <c r="D170" s="170"/>
      <c r="E170" s="171"/>
      <c r="F170" s="172"/>
      <c r="G170" s="172"/>
      <c r="H170" s="172"/>
      <c r="I170" s="188">
        <f t="shared" ref="I170:N170" si="47">I171</f>
        <v>3070</v>
      </c>
      <c r="J170" s="188">
        <f t="shared" si="47"/>
        <v>0</v>
      </c>
      <c r="K170" s="188">
        <f t="shared" si="47"/>
        <v>3070</v>
      </c>
      <c r="L170" s="188">
        <f t="shared" si="47"/>
        <v>3070</v>
      </c>
      <c r="M170" s="188">
        <f t="shared" si="47"/>
        <v>0</v>
      </c>
      <c r="N170" s="188">
        <f t="shared" si="47"/>
        <v>3070</v>
      </c>
      <c r="O170" s="178">
        <f t="shared" si="41"/>
        <v>3070</v>
      </c>
      <c r="P170" s="92">
        <f t="shared" si="42"/>
        <v>0</v>
      </c>
    </row>
    <row r="171" spans="1:17" ht="31.5" x14ac:dyDescent="0.2">
      <c r="A171" s="42"/>
      <c r="B171" s="197" t="s">
        <v>35</v>
      </c>
      <c r="C171" s="169" t="s">
        <v>481</v>
      </c>
      <c r="D171" s="170" t="s">
        <v>36</v>
      </c>
      <c r="E171" s="171"/>
      <c r="F171" s="172"/>
      <c r="G171" s="172"/>
      <c r="H171" s="172">
        <f>SUM(G171)</f>
        <v>0</v>
      </c>
      <c r="I171" s="188">
        <v>3070</v>
      </c>
      <c r="J171" s="189"/>
      <c r="K171" s="188">
        <f>SUM(I171:J171)</f>
        <v>3070</v>
      </c>
      <c r="L171" s="172">
        <f>F171+I171</f>
        <v>3070</v>
      </c>
      <c r="M171" s="172">
        <f>G171+J171</f>
        <v>0</v>
      </c>
      <c r="N171" s="172">
        <f>H171+K171</f>
        <v>3070</v>
      </c>
      <c r="O171" s="178">
        <f t="shared" si="41"/>
        <v>3070</v>
      </c>
      <c r="P171" s="92">
        <f t="shared" si="42"/>
        <v>0</v>
      </c>
    </row>
    <row r="172" spans="1:17" ht="31.5" x14ac:dyDescent="0.2">
      <c r="A172" s="42"/>
      <c r="B172" s="168" t="s">
        <v>191</v>
      </c>
      <c r="C172" s="169" t="s">
        <v>192</v>
      </c>
      <c r="D172" s="170" t="s">
        <v>26</v>
      </c>
      <c r="E172" s="171"/>
      <c r="F172" s="172">
        <f>F173</f>
        <v>6053.5</v>
      </c>
      <c r="G172" s="172">
        <f>G173</f>
        <v>0</v>
      </c>
      <c r="H172" s="172">
        <f>H173</f>
        <v>6053.5</v>
      </c>
      <c r="I172" s="188">
        <f>I173</f>
        <v>0</v>
      </c>
      <c r="J172" s="189"/>
      <c r="K172" s="188">
        <f>K173</f>
        <v>0</v>
      </c>
      <c r="L172" s="172">
        <f>L173</f>
        <v>6053.5</v>
      </c>
      <c r="M172" s="172">
        <f>M173</f>
        <v>0</v>
      </c>
      <c r="N172" s="172">
        <f>N173</f>
        <v>6053.5</v>
      </c>
      <c r="O172" s="178">
        <f t="shared" si="41"/>
        <v>6053.5</v>
      </c>
      <c r="P172" s="92">
        <f t="shared" si="42"/>
        <v>0</v>
      </c>
    </row>
    <row r="173" spans="1:17" ht="31.5" x14ac:dyDescent="0.2">
      <c r="A173" s="42"/>
      <c r="B173" s="168" t="s">
        <v>35</v>
      </c>
      <c r="C173" s="169" t="s">
        <v>192</v>
      </c>
      <c r="D173" s="170" t="s">
        <v>36</v>
      </c>
      <c r="E173" s="171"/>
      <c r="F173" s="172">
        <v>6053.5</v>
      </c>
      <c r="G173" s="172"/>
      <c r="H173" s="172">
        <f>SUM(F173:G173)</f>
        <v>6053.5</v>
      </c>
      <c r="I173" s="188">
        <v>0</v>
      </c>
      <c r="J173" s="189"/>
      <c r="K173" s="188">
        <v>0</v>
      </c>
      <c r="L173" s="172">
        <f>SUM(F173)</f>
        <v>6053.5</v>
      </c>
      <c r="M173" s="172">
        <f>SUM(G173)</f>
        <v>0</v>
      </c>
      <c r="N173" s="172">
        <f>SUM(H173)</f>
        <v>6053.5</v>
      </c>
      <c r="O173" s="178">
        <f t="shared" si="41"/>
        <v>6053.5</v>
      </c>
      <c r="P173" s="92">
        <f t="shared" si="42"/>
        <v>0</v>
      </c>
    </row>
    <row r="174" spans="1:17" ht="34.9" customHeight="1" x14ac:dyDescent="0.2">
      <c r="A174" s="42"/>
      <c r="B174" s="168" t="s">
        <v>193</v>
      </c>
      <c r="C174" s="169" t="s">
        <v>194</v>
      </c>
      <c r="D174" s="170" t="s">
        <v>26</v>
      </c>
      <c r="E174" s="171"/>
      <c r="F174" s="172">
        <f>F175</f>
        <v>12435.4</v>
      </c>
      <c r="G174" s="172">
        <f>G175</f>
        <v>0</v>
      </c>
      <c r="H174" s="172">
        <f>H175</f>
        <v>12435.4</v>
      </c>
      <c r="I174" s="188">
        <f>I175</f>
        <v>0</v>
      </c>
      <c r="J174" s="189"/>
      <c r="K174" s="188">
        <f>K175</f>
        <v>0</v>
      </c>
      <c r="L174" s="172">
        <f>L175</f>
        <v>12435.4</v>
      </c>
      <c r="M174" s="172">
        <f>M175</f>
        <v>0</v>
      </c>
      <c r="N174" s="172">
        <f>N175</f>
        <v>12435.4</v>
      </c>
      <c r="O174" s="178">
        <f t="shared" si="41"/>
        <v>12435.4</v>
      </c>
      <c r="P174" s="92">
        <f t="shared" si="42"/>
        <v>0</v>
      </c>
    </row>
    <row r="175" spans="1:17" ht="30.75" customHeight="1" x14ac:dyDescent="0.2">
      <c r="A175" s="42"/>
      <c r="B175" s="168" t="s">
        <v>35</v>
      </c>
      <c r="C175" s="169" t="s">
        <v>194</v>
      </c>
      <c r="D175" s="170" t="s">
        <v>36</v>
      </c>
      <c r="E175" s="171"/>
      <c r="F175" s="172">
        <v>12435.4</v>
      </c>
      <c r="G175" s="172"/>
      <c r="H175" s="172">
        <f>SUM(F175)+G175</f>
        <v>12435.4</v>
      </c>
      <c r="I175" s="188">
        <v>0</v>
      </c>
      <c r="J175" s="189"/>
      <c r="K175" s="188">
        <v>0</v>
      </c>
      <c r="L175" s="172">
        <f>SUM(F175)</f>
        <v>12435.4</v>
      </c>
      <c r="M175" s="172">
        <f>SUM(G175)</f>
        <v>0</v>
      </c>
      <c r="N175" s="172">
        <f>SUM(H175)</f>
        <v>12435.4</v>
      </c>
      <c r="O175" s="178">
        <f t="shared" si="41"/>
        <v>12435.4</v>
      </c>
      <c r="P175" s="92">
        <f t="shared" si="42"/>
        <v>0</v>
      </c>
    </row>
    <row r="176" spans="1:17" ht="18.75" hidden="1" x14ac:dyDescent="0.2">
      <c r="A176" s="42"/>
      <c r="B176" s="168"/>
      <c r="C176" s="169"/>
      <c r="D176" s="170"/>
      <c r="E176" s="171"/>
      <c r="F176" s="172"/>
      <c r="G176" s="172"/>
      <c r="H176" s="172"/>
      <c r="I176" s="188"/>
      <c r="J176" s="189"/>
      <c r="K176" s="189"/>
      <c r="L176" s="172"/>
      <c r="M176" s="172">
        <f t="shared" ref="M176:N179" si="48">SUM(J176)</f>
        <v>0</v>
      </c>
      <c r="N176" s="172">
        <f t="shared" si="48"/>
        <v>0</v>
      </c>
      <c r="O176" s="178">
        <f t="shared" si="41"/>
        <v>0</v>
      </c>
      <c r="P176" s="92">
        <f t="shared" si="42"/>
        <v>0</v>
      </c>
    </row>
    <row r="177" spans="1:16" ht="31.5" hidden="1" x14ac:dyDescent="0.2">
      <c r="A177" s="42"/>
      <c r="B177" s="168" t="s">
        <v>35</v>
      </c>
      <c r="C177" s="169"/>
      <c r="D177" s="170" t="s">
        <v>36</v>
      </c>
      <c r="E177" s="171"/>
      <c r="F177" s="172"/>
      <c r="G177" s="172"/>
      <c r="H177" s="172"/>
      <c r="I177" s="188"/>
      <c r="J177" s="189"/>
      <c r="K177" s="188">
        <f>SUM(J177)</f>
        <v>0</v>
      </c>
      <c r="L177" s="172"/>
      <c r="M177" s="172">
        <f t="shared" si="48"/>
        <v>0</v>
      </c>
      <c r="N177" s="172">
        <f t="shared" si="48"/>
        <v>0</v>
      </c>
      <c r="O177" s="178">
        <f t="shared" si="41"/>
        <v>0</v>
      </c>
      <c r="P177" s="92">
        <f t="shared" si="42"/>
        <v>0</v>
      </c>
    </row>
    <row r="178" spans="1:16" ht="18.75" hidden="1" x14ac:dyDescent="0.2">
      <c r="A178" s="42"/>
      <c r="B178" s="168"/>
      <c r="C178" s="169"/>
      <c r="D178" s="170"/>
      <c r="E178" s="171"/>
      <c r="F178" s="172"/>
      <c r="G178" s="172"/>
      <c r="H178" s="172"/>
      <c r="I178" s="188"/>
      <c r="J178" s="189"/>
      <c r="K178" s="189"/>
      <c r="L178" s="172"/>
      <c r="M178" s="172">
        <f t="shared" si="48"/>
        <v>0</v>
      </c>
      <c r="N178" s="172">
        <f t="shared" si="48"/>
        <v>0</v>
      </c>
      <c r="O178" s="178">
        <f t="shared" si="41"/>
        <v>0</v>
      </c>
      <c r="P178" s="92">
        <f t="shared" si="42"/>
        <v>0</v>
      </c>
    </row>
    <row r="179" spans="1:16" ht="31.5" hidden="1" x14ac:dyDescent="0.2">
      <c r="A179" s="42"/>
      <c r="B179" s="168" t="s">
        <v>35</v>
      </c>
      <c r="C179" s="169"/>
      <c r="D179" s="170" t="s">
        <v>36</v>
      </c>
      <c r="E179" s="171"/>
      <c r="F179" s="172"/>
      <c r="G179" s="172"/>
      <c r="H179" s="172"/>
      <c r="I179" s="188"/>
      <c r="J179" s="189"/>
      <c r="K179" s="189"/>
      <c r="L179" s="172"/>
      <c r="M179" s="172">
        <f t="shared" si="48"/>
        <v>0</v>
      </c>
      <c r="N179" s="172">
        <f t="shared" si="48"/>
        <v>0</v>
      </c>
      <c r="O179" s="178">
        <f t="shared" si="41"/>
        <v>0</v>
      </c>
      <c r="P179" s="92">
        <f t="shared" si="42"/>
        <v>0</v>
      </c>
    </row>
    <row r="180" spans="1:16" ht="52.15" customHeight="1" x14ac:dyDescent="0.2">
      <c r="A180" s="42"/>
      <c r="B180" s="168" t="s">
        <v>477</v>
      </c>
      <c r="C180" s="169" t="s">
        <v>474</v>
      </c>
      <c r="D180" s="170"/>
      <c r="E180" s="171"/>
      <c r="F180" s="172">
        <v>0</v>
      </c>
      <c r="G180" s="172"/>
      <c r="H180" s="172">
        <f>SUM(F180)</f>
        <v>0</v>
      </c>
      <c r="I180" s="189">
        <f>SUM(I181)</f>
        <v>2500.4</v>
      </c>
      <c r="J180" s="189">
        <f>SUM(J181)</f>
        <v>0</v>
      </c>
      <c r="K180" s="189">
        <f>SUM(K181)</f>
        <v>2500.4</v>
      </c>
      <c r="L180" s="172">
        <f>SUM(I180)</f>
        <v>2500.4</v>
      </c>
      <c r="M180" s="172">
        <f>SUM(G180)+J180</f>
        <v>0</v>
      </c>
      <c r="N180" s="172">
        <f>SUM(K180)+H180+M180</f>
        <v>2500.4</v>
      </c>
      <c r="O180" s="178">
        <f t="shared" si="41"/>
        <v>2500.4</v>
      </c>
      <c r="P180" s="92">
        <f t="shared" si="42"/>
        <v>0</v>
      </c>
    </row>
    <row r="181" spans="1:16" ht="31.5" x14ac:dyDescent="0.2">
      <c r="A181" s="42"/>
      <c r="B181" s="168" t="s">
        <v>35</v>
      </c>
      <c r="C181" s="169" t="s">
        <v>474</v>
      </c>
      <c r="D181" s="170" t="s">
        <v>36</v>
      </c>
      <c r="E181" s="171"/>
      <c r="F181" s="172">
        <v>0</v>
      </c>
      <c r="G181" s="172"/>
      <c r="H181" s="172">
        <f>SUM(F181)</f>
        <v>0</v>
      </c>
      <c r="I181" s="188">
        <v>2500.4</v>
      </c>
      <c r="J181" s="189"/>
      <c r="K181" s="189">
        <f>SUM(J181)+I181</f>
        <v>2500.4</v>
      </c>
      <c r="L181" s="172">
        <f>SUM(F181+I181)</f>
        <v>2500.4</v>
      </c>
      <c r="M181" s="172">
        <f>SUM(G181)+J181</f>
        <v>0</v>
      </c>
      <c r="N181" s="172">
        <f>SUM(K181)+H181+M181</f>
        <v>2500.4</v>
      </c>
      <c r="O181" s="178">
        <f t="shared" si="41"/>
        <v>2500.4</v>
      </c>
      <c r="P181" s="92">
        <f t="shared" si="42"/>
        <v>0</v>
      </c>
    </row>
    <row r="182" spans="1:16" ht="18.75" x14ac:dyDescent="0.2">
      <c r="A182" s="42"/>
      <c r="B182" s="168" t="s">
        <v>476</v>
      </c>
      <c r="C182" s="169" t="s">
        <v>475</v>
      </c>
      <c r="D182" s="170"/>
      <c r="E182" s="171"/>
      <c r="F182" s="172"/>
      <c r="G182" s="172"/>
      <c r="H182" s="172">
        <f>SUM(G182)</f>
        <v>0</v>
      </c>
      <c r="I182" s="188">
        <v>4251.8</v>
      </c>
      <c r="J182" s="189"/>
      <c r="K182" s="189">
        <v>4251.8</v>
      </c>
      <c r="L182" s="172">
        <f>SUM(I182)</f>
        <v>4251.8</v>
      </c>
      <c r="M182" s="172">
        <f>SUM(J182)+H182</f>
        <v>0</v>
      </c>
      <c r="N182" s="172">
        <f>SUM(K182)</f>
        <v>4251.8</v>
      </c>
      <c r="O182" s="178">
        <f t="shared" si="41"/>
        <v>4251.8</v>
      </c>
      <c r="P182" s="92">
        <f t="shared" si="42"/>
        <v>0</v>
      </c>
    </row>
    <row r="183" spans="1:16" ht="31.5" x14ac:dyDescent="0.2">
      <c r="A183" s="42"/>
      <c r="B183" s="168" t="s">
        <v>35</v>
      </c>
      <c r="C183" s="169" t="s">
        <v>475</v>
      </c>
      <c r="D183" s="170" t="s">
        <v>36</v>
      </c>
      <c r="E183" s="171"/>
      <c r="F183" s="172"/>
      <c r="G183" s="172"/>
      <c r="H183" s="172">
        <f>SUM(G183)</f>
        <v>0</v>
      </c>
      <c r="I183" s="188">
        <v>4251.8</v>
      </c>
      <c r="J183" s="189"/>
      <c r="K183" s="188">
        <v>4251.8</v>
      </c>
      <c r="L183" s="172">
        <f>SUM(I183)</f>
        <v>4251.8</v>
      </c>
      <c r="M183" s="172">
        <f>SUM(J183)+H183</f>
        <v>0</v>
      </c>
      <c r="N183" s="172">
        <f>SUM(K183)</f>
        <v>4251.8</v>
      </c>
      <c r="O183" s="178">
        <f t="shared" si="41"/>
        <v>4251.8</v>
      </c>
      <c r="P183" s="92">
        <f t="shared" si="42"/>
        <v>0</v>
      </c>
    </row>
    <row r="184" spans="1:16" ht="96" customHeight="1" x14ac:dyDescent="0.2">
      <c r="A184" s="42"/>
      <c r="B184" s="168" t="s">
        <v>493</v>
      </c>
      <c r="C184" s="169" t="s">
        <v>452</v>
      </c>
      <c r="D184" s="170"/>
      <c r="E184" s="171"/>
      <c r="F184" s="172">
        <f>SUM(F185)</f>
        <v>66.400000000000006</v>
      </c>
      <c r="G184" s="172">
        <f>SUM(G185)</f>
        <v>0</v>
      </c>
      <c r="H184" s="172">
        <f>SUM(F184)</f>
        <v>66.400000000000006</v>
      </c>
      <c r="I184" s="188">
        <f>SUM(I185)</f>
        <v>1260</v>
      </c>
      <c r="J184" s="189">
        <f>SUM(J185)</f>
        <v>0</v>
      </c>
      <c r="K184" s="188">
        <f>SUM(I184)</f>
        <v>1260</v>
      </c>
      <c r="L184" s="172">
        <f>SUM(F184+I184)</f>
        <v>1326.4</v>
      </c>
      <c r="M184" s="172">
        <f>SUM(J184)+G184</f>
        <v>0</v>
      </c>
      <c r="N184" s="172">
        <f>SUM(K184)+H184</f>
        <v>1326.4</v>
      </c>
      <c r="O184" s="178">
        <f t="shared" si="41"/>
        <v>1326.4</v>
      </c>
      <c r="P184" s="92">
        <f t="shared" si="42"/>
        <v>0</v>
      </c>
    </row>
    <row r="185" spans="1:16" ht="35.450000000000003" customHeight="1" x14ac:dyDescent="0.2">
      <c r="A185" s="42"/>
      <c r="B185" s="168" t="s">
        <v>35</v>
      </c>
      <c r="C185" s="169" t="s">
        <v>452</v>
      </c>
      <c r="D185" s="170" t="s">
        <v>36</v>
      </c>
      <c r="E185" s="171"/>
      <c r="F185" s="172">
        <v>66.400000000000006</v>
      </c>
      <c r="G185" s="172"/>
      <c r="H185" s="172">
        <f>SUM(F185)</f>
        <v>66.400000000000006</v>
      </c>
      <c r="I185" s="188">
        <v>1260</v>
      </c>
      <c r="J185" s="189"/>
      <c r="K185" s="188">
        <f>SUM(I185)</f>
        <v>1260</v>
      </c>
      <c r="L185" s="172">
        <f>SUM(F185+I185)</f>
        <v>1326.4</v>
      </c>
      <c r="M185" s="172">
        <f>SUM(J185)+G185</f>
        <v>0</v>
      </c>
      <c r="N185" s="172">
        <f>SUM(K185)+H185</f>
        <v>1326.4</v>
      </c>
      <c r="O185" s="178">
        <f t="shared" si="41"/>
        <v>1326.4</v>
      </c>
      <c r="P185" s="92">
        <f t="shared" si="42"/>
        <v>0</v>
      </c>
    </row>
    <row r="186" spans="1:16" ht="18.75" hidden="1" x14ac:dyDescent="0.2">
      <c r="A186" s="42"/>
      <c r="B186" s="168"/>
      <c r="C186" s="169" t="s">
        <v>317</v>
      </c>
      <c r="D186" s="170"/>
      <c r="E186" s="171"/>
      <c r="F186" s="172"/>
      <c r="G186" s="172"/>
      <c r="H186" s="172"/>
      <c r="I186" s="188"/>
      <c r="J186" s="189"/>
      <c r="K186" s="188"/>
      <c r="L186" s="172"/>
      <c r="M186" s="172"/>
      <c r="N186" s="172"/>
      <c r="O186" s="178">
        <f t="shared" si="41"/>
        <v>0</v>
      </c>
      <c r="P186" s="92">
        <f t="shared" si="42"/>
        <v>0</v>
      </c>
    </row>
    <row r="187" spans="1:16" ht="18.75" hidden="1" x14ac:dyDescent="0.2">
      <c r="A187" s="42"/>
      <c r="B187" s="168"/>
      <c r="C187" s="169" t="s">
        <v>319</v>
      </c>
      <c r="D187" s="170"/>
      <c r="E187" s="171"/>
      <c r="F187" s="172"/>
      <c r="G187" s="172"/>
      <c r="H187" s="172"/>
      <c r="I187" s="188"/>
      <c r="J187" s="189"/>
      <c r="K187" s="188"/>
      <c r="L187" s="172"/>
      <c r="M187" s="172"/>
      <c r="N187" s="172"/>
      <c r="O187" s="178">
        <f t="shared" si="41"/>
        <v>0</v>
      </c>
      <c r="P187" s="92">
        <f t="shared" si="42"/>
        <v>0</v>
      </c>
    </row>
    <row r="188" spans="1:16" ht="18.75" hidden="1" x14ac:dyDescent="0.2">
      <c r="A188" s="42"/>
      <c r="B188" s="168"/>
      <c r="C188" s="169" t="s">
        <v>466</v>
      </c>
      <c r="D188" s="170"/>
      <c r="E188" s="171"/>
      <c r="F188" s="172"/>
      <c r="G188" s="172"/>
      <c r="H188" s="172"/>
      <c r="I188" s="188"/>
      <c r="J188" s="189"/>
      <c r="K188" s="188"/>
      <c r="L188" s="172"/>
      <c r="M188" s="172"/>
      <c r="N188" s="172"/>
      <c r="O188" s="178">
        <f t="shared" si="41"/>
        <v>0</v>
      </c>
      <c r="P188" s="92">
        <f t="shared" si="42"/>
        <v>0</v>
      </c>
    </row>
    <row r="189" spans="1:16" ht="31.5" hidden="1" x14ac:dyDescent="0.2">
      <c r="A189" s="42"/>
      <c r="B189" s="168" t="s">
        <v>35</v>
      </c>
      <c r="C189" s="169" t="s">
        <v>467</v>
      </c>
      <c r="D189" s="170" t="s">
        <v>36</v>
      </c>
      <c r="E189" s="171"/>
      <c r="F189" s="172"/>
      <c r="G189" s="172"/>
      <c r="H189" s="172"/>
      <c r="I189" s="188"/>
      <c r="J189" s="189"/>
      <c r="K189" s="188"/>
      <c r="L189" s="172"/>
      <c r="M189" s="172"/>
      <c r="N189" s="172"/>
      <c r="O189" s="178">
        <f t="shared" si="41"/>
        <v>0</v>
      </c>
      <c r="P189" s="92">
        <f t="shared" si="42"/>
        <v>0</v>
      </c>
    </row>
    <row r="190" spans="1:16" ht="21.6" customHeight="1" x14ac:dyDescent="0.2">
      <c r="A190" s="49"/>
      <c r="B190" s="190" t="s">
        <v>195</v>
      </c>
      <c r="C190" s="191" t="s">
        <v>196</v>
      </c>
      <c r="D190" s="192" t="s">
        <v>26</v>
      </c>
      <c r="E190" s="193"/>
      <c r="F190" s="194">
        <f t="shared" ref="F190:N190" si="49">F191</f>
        <v>7212.5</v>
      </c>
      <c r="G190" s="194">
        <f t="shared" si="49"/>
        <v>86.4</v>
      </c>
      <c r="H190" s="194">
        <f t="shared" si="49"/>
        <v>7298.9</v>
      </c>
      <c r="I190" s="195">
        <f t="shared" si="49"/>
        <v>0</v>
      </c>
      <c r="J190" s="194">
        <f t="shared" si="49"/>
        <v>0</v>
      </c>
      <c r="K190" s="195">
        <f t="shared" si="49"/>
        <v>0</v>
      </c>
      <c r="L190" s="194">
        <f t="shared" si="49"/>
        <v>7212.5</v>
      </c>
      <c r="M190" s="194">
        <f t="shared" si="49"/>
        <v>86.4</v>
      </c>
      <c r="N190" s="194">
        <f t="shared" si="49"/>
        <v>7298.9</v>
      </c>
      <c r="O190" s="178">
        <f t="shared" si="41"/>
        <v>7298.9</v>
      </c>
      <c r="P190" s="92">
        <f t="shared" si="42"/>
        <v>0</v>
      </c>
    </row>
    <row r="191" spans="1:16" ht="31.5" x14ac:dyDescent="0.2">
      <c r="A191" s="42"/>
      <c r="B191" s="168" t="s">
        <v>197</v>
      </c>
      <c r="C191" s="169" t="s">
        <v>198</v>
      </c>
      <c r="D191" s="170" t="s">
        <v>26</v>
      </c>
      <c r="E191" s="171"/>
      <c r="F191" s="172">
        <f>F192+F194</f>
        <v>7212.5</v>
      </c>
      <c r="G191" s="172">
        <f>G192+G194</f>
        <v>86.4</v>
      </c>
      <c r="H191" s="172">
        <f>H192+H194</f>
        <v>7298.9</v>
      </c>
      <c r="I191" s="188">
        <f>I192+I194</f>
        <v>0</v>
      </c>
      <c r="J191" s="189"/>
      <c r="K191" s="188">
        <f>K192+K194</f>
        <v>0</v>
      </c>
      <c r="L191" s="172">
        <f>L192+L194</f>
        <v>7212.5</v>
      </c>
      <c r="M191" s="172">
        <f>M192+M194</f>
        <v>86.4</v>
      </c>
      <c r="N191" s="172">
        <f>N192+N194</f>
        <v>7298.9</v>
      </c>
      <c r="O191" s="178">
        <f t="shared" si="41"/>
        <v>7298.9</v>
      </c>
      <c r="P191" s="92">
        <f t="shared" si="42"/>
        <v>0</v>
      </c>
    </row>
    <row r="192" spans="1:16" ht="31.9" customHeight="1" x14ac:dyDescent="0.2">
      <c r="A192" s="42"/>
      <c r="B192" s="168" t="s">
        <v>199</v>
      </c>
      <c r="C192" s="169" t="s">
        <v>200</v>
      </c>
      <c r="D192" s="170" t="s">
        <v>26</v>
      </c>
      <c r="E192" s="171"/>
      <c r="F192" s="172">
        <f>F193</f>
        <v>3111.7</v>
      </c>
      <c r="G192" s="172">
        <f>G193</f>
        <v>0</v>
      </c>
      <c r="H192" s="172">
        <f>H193</f>
        <v>3111.7</v>
      </c>
      <c r="I192" s="188">
        <f>I193</f>
        <v>0</v>
      </c>
      <c r="J192" s="189"/>
      <c r="K192" s="188">
        <f>K193</f>
        <v>0</v>
      </c>
      <c r="L192" s="172">
        <f>L193</f>
        <v>3111.7</v>
      </c>
      <c r="M192" s="172">
        <f>M193</f>
        <v>0</v>
      </c>
      <c r="N192" s="172">
        <f>N193</f>
        <v>3111.7</v>
      </c>
      <c r="O192" s="178">
        <f t="shared" si="41"/>
        <v>3111.7</v>
      </c>
      <c r="P192" s="92">
        <f t="shared" si="42"/>
        <v>0</v>
      </c>
    </row>
    <row r="193" spans="1:16" ht="31.5" x14ac:dyDescent="0.2">
      <c r="A193" s="42"/>
      <c r="B193" s="168" t="s">
        <v>35</v>
      </c>
      <c r="C193" s="169" t="s">
        <v>200</v>
      </c>
      <c r="D193" s="170" t="s">
        <v>36</v>
      </c>
      <c r="E193" s="171"/>
      <c r="F193" s="172">
        <v>3111.7</v>
      </c>
      <c r="G193" s="172"/>
      <c r="H193" s="172">
        <f>SUM(F193:G193)</f>
        <v>3111.7</v>
      </c>
      <c r="I193" s="188">
        <v>0</v>
      </c>
      <c r="J193" s="189"/>
      <c r="K193" s="188">
        <v>0</v>
      </c>
      <c r="L193" s="172">
        <f>F193+I193</f>
        <v>3111.7</v>
      </c>
      <c r="M193" s="172">
        <f>G193+J193</f>
        <v>0</v>
      </c>
      <c r="N193" s="172">
        <f>H193+K193</f>
        <v>3111.7</v>
      </c>
      <c r="O193" s="178">
        <f t="shared" si="41"/>
        <v>3111.7</v>
      </c>
      <c r="P193" s="92">
        <f t="shared" si="42"/>
        <v>0</v>
      </c>
    </row>
    <row r="194" spans="1:16" ht="31.5" x14ac:dyDescent="0.2">
      <c r="A194" s="42"/>
      <c r="B194" s="168" t="s">
        <v>201</v>
      </c>
      <c r="C194" s="169" t="s">
        <v>202</v>
      </c>
      <c r="D194" s="170" t="s">
        <v>26</v>
      </c>
      <c r="E194" s="171"/>
      <c r="F194" s="172">
        <f>F195</f>
        <v>4100.8</v>
      </c>
      <c r="G194" s="172">
        <f>G195</f>
        <v>86.4</v>
      </c>
      <c r="H194" s="172">
        <f>H195</f>
        <v>4187.2</v>
      </c>
      <c r="I194" s="188">
        <f>I195</f>
        <v>0</v>
      </c>
      <c r="J194" s="189"/>
      <c r="K194" s="188">
        <f>K195</f>
        <v>0</v>
      </c>
      <c r="L194" s="172">
        <f>L195</f>
        <v>4100.8</v>
      </c>
      <c r="M194" s="172">
        <f>M195</f>
        <v>86.4</v>
      </c>
      <c r="N194" s="172">
        <f>N195</f>
        <v>4187.2</v>
      </c>
      <c r="O194" s="178">
        <f t="shared" si="41"/>
        <v>4187.2</v>
      </c>
      <c r="P194" s="92">
        <f t="shared" si="42"/>
        <v>0</v>
      </c>
    </row>
    <row r="195" spans="1:16" ht="31.5" x14ac:dyDescent="0.2">
      <c r="A195" s="42"/>
      <c r="B195" s="168" t="s">
        <v>35</v>
      </c>
      <c r="C195" s="169" t="s">
        <v>202</v>
      </c>
      <c r="D195" s="170" t="s">
        <v>36</v>
      </c>
      <c r="E195" s="171"/>
      <c r="F195" s="172">
        <v>4100.8</v>
      </c>
      <c r="G195" s="172">
        <v>86.4</v>
      </c>
      <c r="H195" s="172">
        <f>SUM(F195)+G195</f>
        <v>4187.2</v>
      </c>
      <c r="I195" s="188">
        <v>0</v>
      </c>
      <c r="J195" s="189"/>
      <c r="K195" s="188">
        <v>0</v>
      </c>
      <c r="L195" s="172">
        <f>SUM(F195)</f>
        <v>4100.8</v>
      </c>
      <c r="M195" s="172">
        <f>SUM(G195)</f>
        <v>86.4</v>
      </c>
      <c r="N195" s="172">
        <f>SUM(H195)</f>
        <v>4187.2</v>
      </c>
      <c r="O195" s="178">
        <f t="shared" si="41"/>
        <v>4187.2</v>
      </c>
      <c r="P195" s="92">
        <f t="shared" si="42"/>
        <v>0</v>
      </c>
    </row>
    <row r="196" spans="1:16" ht="18.75" x14ac:dyDescent="0.2">
      <c r="A196" s="49"/>
      <c r="B196" s="190" t="s">
        <v>203</v>
      </c>
      <c r="C196" s="191" t="s">
        <v>204</v>
      </c>
      <c r="D196" s="192" t="s">
        <v>26</v>
      </c>
      <c r="E196" s="193"/>
      <c r="F196" s="194">
        <f t="shared" ref="F196:N196" si="50">F197+F200+F212+F207</f>
        <v>143572.9</v>
      </c>
      <c r="G196" s="194">
        <f t="shared" si="50"/>
        <v>1236.3</v>
      </c>
      <c r="H196" s="194">
        <f t="shared" si="50"/>
        <v>144809.20000000001</v>
      </c>
      <c r="I196" s="194">
        <f t="shared" si="50"/>
        <v>72000</v>
      </c>
      <c r="J196" s="194">
        <f t="shared" si="50"/>
        <v>0</v>
      </c>
      <c r="K196" s="194">
        <f t="shared" si="50"/>
        <v>72000</v>
      </c>
      <c r="L196" s="194">
        <f t="shared" si="50"/>
        <v>215572.90000000002</v>
      </c>
      <c r="M196" s="194">
        <f t="shared" si="50"/>
        <v>1236.3</v>
      </c>
      <c r="N196" s="194">
        <f t="shared" si="50"/>
        <v>216809.2</v>
      </c>
      <c r="O196" s="178">
        <f t="shared" si="41"/>
        <v>216809.2</v>
      </c>
      <c r="P196" s="92">
        <f t="shared" si="42"/>
        <v>0</v>
      </c>
    </row>
    <row r="197" spans="1:16" ht="31.5" x14ac:dyDescent="0.2">
      <c r="A197" s="42"/>
      <c r="B197" s="168" t="s">
        <v>205</v>
      </c>
      <c r="C197" s="169" t="s">
        <v>206</v>
      </c>
      <c r="D197" s="170" t="s">
        <v>26</v>
      </c>
      <c r="E197" s="171"/>
      <c r="F197" s="172">
        <f t="shared" ref="F197:N198" si="51">F198</f>
        <v>8699.1</v>
      </c>
      <c r="G197" s="172">
        <f t="shared" si="51"/>
        <v>0</v>
      </c>
      <c r="H197" s="172">
        <f t="shared" si="51"/>
        <v>8699.1</v>
      </c>
      <c r="I197" s="188">
        <f t="shared" si="51"/>
        <v>0</v>
      </c>
      <c r="J197" s="189"/>
      <c r="K197" s="188">
        <f t="shared" si="51"/>
        <v>0</v>
      </c>
      <c r="L197" s="172">
        <f t="shared" si="51"/>
        <v>8699.1</v>
      </c>
      <c r="M197" s="172">
        <f t="shared" si="51"/>
        <v>0</v>
      </c>
      <c r="N197" s="172">
        <f t="shared" si="51"/>
        <v>8699.1</v>
      </c>
      <c r="O197" s="178">
        <f t="shared" si="41"/>
        <v>8699.1</v>
      </c>
      <c r="P197" s="92">
        <f t="shared" si="42"/>
        <v>0</v>
      </c>
    </row>
    <row r="198" spans="1:16" ht="31.5" x14ac:dyDescent="0.2">
      <c r="A198" s="42"/>
      <c r="B198" s="168" t="s">
        <v>39</v>
      </c>
      <c r="C198" s="169" t="s">
        <v>207</v>
      </c>
      <c r="D198" s="170" t="s">
        <v>26</v>
      </c>
      <c r="E198" s="171"/>
      <c r="F198" s="172">
        <f t="shared" si="51"/>
        <v>8699.1</v>
      </c>
      <c r="G198" s="172">
        <f t="shared" si="51"/>
        <v>0</v>
      </c>
      <c r="H198" s="172">
        <f t="shared" si="51"/>
        <v>8699.1</v>
      </c>
      <c r="I198" s="188">
        <f t="shared" si="51"/>
        <v>0</v>
      </c>
      <c r="J198" s="189"/>
      <c r="K198" s="188">
        <f t="shared" si="51"/>
        <v>0</v>
      </c>
      <c r="L198" s="172">
        <f t="shared" si="51"/>
        <v>8699.1</v>
      </c>
      <c r="M198" s="172">
        <f t="shared" si="51"/>
        <v>0</v>
      </c>
      <c r="N198" s="172">
        <f t="shared" si="51"/>
        <v>8699.1</v>
      </c>
      <c r="O198" s="178">
        <f t="shared" si="41"/>
        <v>8699.1</v>
      </c>
      <c r="P198" s="92">
        <f t="shared" si="42"/>
        <v>0</v>
      </c>
    </row>
    <row r="199" spans="1:16" ht="31.5" x14ac:dyDescent="0.2">
      <c r="A199" s="42"/>
      <c r="B199" s="168" t="s">
        <v>74</v>
      </c>
      <c r="C199" s="169" t="s">
        <v>207</v>
      </c>
      <c r="D199" s="170" t="s">
        <v>75</v>
      </c>
      <c r="E199" s="171"/>
      <c r="F199" s="172">
        <v>8699.1</v>
      </c>
      <c r="G199" s="172"/>
      <c r="H199" s="172">
        <f>SUM(F199)</f>
        <v>8699.1</v>
      </c>
      <c r="I199" s="188">
        <v>0</v>
      </c>
      <c r="J199" s="189"/>
      <c r="K199" s="188">
        <v>0</v>
      </c>
      <c r="L199" s="172">
        <f>SUM(F199)</f>
        <v>8699.1</v>
      </c>
      <c r="M199" s="172">
        <f>SUM(G199)</f>
        <v>0</v>
      </c>
      <c r="N199" s="172">
        <f>SUM(L199)</f>
        <v>8699.1</v>
      </c>
      <c r="O199" s="178">
        <f t="shared" si="41"/>
        <v>8699.1</v>
      </c>
      <c r="P199" s="92">
        <f t="shared" si="42"/>
        <v>0</v>
      </c>
    </row>
    <row r="200" spans="1:16" ht="36" customHeight="1" x14ac:dyDescent="0.2">
      <c r="A200" s="42"/>
      <c r="B200" s="168" t="s">
        <v>208</v>
      </c>
      <c r="C200" s="169" t="s">
        <v>209</v>
      </c>
      <c r="D200" s="170" t="s">
        <v>26</v>
      </c>
      <c r="E200" s="171"/>
      <c r="F200" s="172">
        <f>F201+F203+F205</f>
        <v>121024.8</v>
      </c>
      <c r="G200" s="172">
        <f>SUM(G205)+G201+G203</f>
        <v>0</v>
      </c>
      <c r="H200" s="172">
        <f>H201+H203+H205</f>
        <v>121024.8</v>
      </c>
      <c r="I200" s="188">
        <f t="shared" ref="F200:N201" si="52">I201</f>
        <v>0</v>
      </c>
      <c r="J200" s="189"/>
      <c r="K200" s="188">
        <f t="shared" si="52"/>
        <v>0</v>
      </c>
      <c r="L200" s="172">
        <f>L201+L203+L205</f>
        <v>121024.8</v>
      </c>
      <c r="M200" s="172">
        <f>SUM(M205)+M201+M203</f>
        <v>0</v>
      </c>
      <c r="N200" s="172">
        <f>N201+N203+N205</f>
        <v>121024.8</v>
      </c>
      <c r="O200" s="178">
        <f t="shared" si="41"/>
        <v>121024.8</v>
      </c>
      <c r="P200" s="92">
        <f t="shared" si="42"/>
        <v>0</v>
      </c>
    </row>
    <row r="201" spans="1:16" ht="31.5" x14ac:dyDescent="0.2">
      <c r="A201" s="42"/>
      <c r="B201" s="168" t="s">
        <v>39</v>
      </c>
      <c r="C201" s="169" t="s">
        <v>210</v>
      </c>
      <c r="D201" s="170" t="s">
        <v>26</v>
      </c>
      <c r="E201" s="171"/>
      <c r="F201" s="172">
        <f t="shared" si="52"/>
        <v>117945.8</v>
      </c>
      <c r="G201" s="172">
        <f t="shared" si="52"/>
        <v>0</v>
      </c>
      <c r="H201" s="172">
        <f t="shared" si="52"/>
        <v>117945.8</v>
      </c>
      <c r="I201" s="188">
        <f t="shared" si="52"/>
        <v>0</v>
      </c>
      <c r="J201" s="189"/>
      <c r="K201" s="188">
        <f t="shared" si="52"/>
        <v>0</v>
      </c>
      <c r="L201" s="172">
        <f t="shared" si="52"/>
        <v>117945.8</v>
      </c>
      <c r="M201" s="172">
        <f t="shared" si="52"/>
        <v>0</v>
      </c>
      <c r="N201" s="172">
        <f t="shared" si="52"/>
        <v>117945.8</v>
      </c>
      <c r="O201" s="178">
        <f t="shared" si="41"/>
        <v>117945.8</v>
      </c>
      <c r="P201" s="92">
        <f t="shared" si="42"/>
        <v>0</v>
      </c>
    </row>
    <row r="202" spans="1:16" ht="30.75" customHeight="1" x14ac:dyDescent="0.2">
      <c r="A202" s="42"/>
      <c r="B202" s="168" t="s">
        <v>74</v>
      </c>
      <c r="C202" s="169" t="s">
        <v>210</v>
      </c>
      <c r="D202" s="170" t="s">
        <v>75</v>
      </c>
      <c r="E202" s="171"/>
      <c r="F202" s="172">
        <v>117945.8</v>
      </c>
      <c r="G202" s="172"/>
      <c r="H202" s="172">
        <f>SUM(F202+G202)</f>
        <v>117945.8</v>
      </c>
      <c r="I202" s="188">
        <v>0</v>
      </c>
      <c r="J202" s="189"/>
      <c r="K202" s="188">
        <v>0</v>
      </c>
      <c r="L202" s="172">
        <f>SUM(F201)</f>
        <v>117945.8</v>
      </c>
      <c r="M202" s="172">
        <f>SUM(G202)</f>
        <v>0</v>
      </c>
      <c r="N202" s="172">
        <f>SUM(H202)</f>
        <v>117945.8</v>
      </c>
      <c r="O202" s="178">
        <f t="shared" si="41"/>
        <v>117945.8</v>
      </c>
      <c r="P202" s="92">
        <f t="shared" si="42"/>
        <v>0</v>
      </c>
    </row>
    <row r="203" spans="1:16" ht="31.5" customHeight="1" x14ac:dyDescent="0.2">
      <c r="A203" s="42"/>
      <c r="B203" s="168" t="s">
        <v>211</v>
      </c>
      <c r="C203" s="169" t="s">
        <v>212</v>
      </c>
      <c r="D203" s="170"/>
      <c r="E203" s="171"/>
      <c r="F203" s="172">
        <v>779</v>
      </c>
      <c r="G203" s="172"/>
      <c r="H203" s="172">
        <f>SUM(F203)</f>
        <v>779</v>
      </c>
      <c r="I203" s="188"/>
      <c r="J203" s="189"/>
      <c r="K203" s="188"/>
      <c r="L203" s="172">
        <f>SUM(F204)</f>
        <v>779</v>
      </c>
      <c r="M203" s="172">
        <f>SUM(G203)</f>
        <v>0</v>
      </c>
      <c r="N203" s="172">
        <f>SUM(L203)</f>
        <v>779</v>
      </c>
      <c r="O203" s="178">
        <f t="shared" si="41"/>
        <v>779</v>
      </c>
      <c r="P203" s="92">
        <f t="shared" si="42"/>
        <v>0</v>
      </c>
    </row>
    <row r="204" spans="1:16" ht="33.75" customHeight="1" x14ac:dyDescent="0.2">
      <c r="A204" s="42"/>
      <c r="B204" s="168" t="s">
        <v>74</v>
      </c>
      <c r="C204" s="169" t="s">
        <v>212</v>
      </c>
      <c r="D204" s="170" t="s">
        <v>75</v>
      </c>
      <c r="E204" s="171"/>
      <c r="F204" s="172">
        <v>779</v>
      </c>
      <c r="G204" s="172"/>
      <c r="H204" s="172">
        <f>SUM(F204)</f>
        <v>779</v>
      </c>
      <c r="I204" s="188"/>
      <c r="J204" s="189"/>
      <c r="K204" s="188"/>
      <c r="L204" s="172">
        <f t="shared" ref="L204:N214" si="53">SUM(F204)</f>
        <v>779</v>
      </c>
      <c r="M204" s="172">
        <f>SUM(G204)</f>
        <v>0</v>
      </c>
      <c r="N204" s="172">
        <f>SUM(L204)</f>
        <v>779</v>
      </c>
      <c r="O204" s="178">
        <f t="shared" si="41"/>
        <v>779</v>
      </c>
      <c r="P204" s="92">
        <f t="shared" si="42"/>
        <v>0</v>
      </c>
    </row>
    <row r="205" spans="1:16" ht="31.5" customHeight="1" x14ac:dyDescent="0.2">
      <c r="A205" s="42"/>
      <c r="B205" s="203" t="s">
        <v>78</v>
      </c>
      <c r="C205" s="169" t="s">
        <v>213</v>
      </c>
      <c r="D205" s="170"/>
      <c r="E205" s="171"/>
      <c r="F205" s="172">
        <v>2300</v>
      </c>
      <c r="G205" s="172">
        <f>SUM(G206)</f>
        <v>0</v>
      </c>
      <c r="H205" s="172">
        <f>SUM(H206)</f>
        <v>2300</v>
      </c>
      <c r="I205" s="188"/>
      <c r="J205" s="189"/>
      <c r="K205" s="188"/>
      <c r="L205" s="172">
        <f t="shared" si="53"/>
        <v>2300</v>
      </c>
      <c r="M205" s="172">
        <f t="shared" si="53"/>
        <v>0</v>
      </c>
      <c r="N205" s="172">
        <f t="shared" si="53"/>
        <v>2300</v>
      </c>
      <c r="O205" s="178">
        <f t="shared" si="41"/>
        <v>2300</v>
      </c>
      <c r="P205" s="92">
        <f t="shared" si="42"/>
        <v>0</v>
      </c>
    </row>
    <row r="206" spans="1:16" ht="31.5" customHeight="1" x14ac:dyDescent="0.2">
      <c r="A206" s="42"/>
      <c r="B206" s="168" t="s">
        <v>74</v>
      </c>
      <c r="C206" s="169" t="s">
        <v>213</v>
      </c>
      <c r="D206" s="170" t="s">
        <v>75</v>
      </c>
      <c r="E206" s="171"/>
      <c r="F206" s="172">
        <v>2300</v>
      </c>
      <c r="G206" s="172"/>
      <c r="H206" s="172">
        <f>SUM(F206)</f>
        <v>2300</v>
      </c>
      <c r="I206" s="188"/>
      <c r="J206" s="189"/>
      <c r="K206" s="188"/>
      <c r="L206" s="172">
        <f t="shared" si="53"/>
        <v>2300</v>
      </c>
      <c r="M206" s="172">
        <f t="shared" si="53"/>
        <v>0</v>
      </c>
      <c r="N206" s="172">
        <f t="shared" si="53"/>
        <v>2300</v>
      </c>
      <c r="O206" s="178">
        <f t="shared" si="41"/>
        <v>2300</v>
      </c>
      <c r="P206" s="92">
        <f t="shared" si="42"/>
        <v>0</v>
      </c>
    </row>
    <row r="207" spans="1:16" ht="57" customHeight="1" x14ac:dyDescent="0.2">
      <c r="A207" s="42"/>
      <c r="B207" s="198" t="s">
        <v>471</v>
      </c>
      <c r="C207" s="169" t="s">
        <v>469</v>
      </c>
      <c r="D207" s="170"/>
      <c r="E207" s="171"/>
      <c r="F207" s="172">
        <f>SUM(F208)+F210</f>
        <v>3917.3</v>
      </c>
      <c r="G207" s="172">
        <f>SUM(G208)+G210</f>
        <v>0</v>
      </c>
      <c r="H207" s="172">
        <f>SUM(H208)+H210</f>
        <v>3917.3</v>
      </c>
      <c r="I207" s="188">
        <f>SUM(I210)</f>
        <v>72000</v>
      </c>
      <c r="J207" s="172">
        <f>SUM(J208)+J210</f>
        <v>0</v>
      </c>
      <c r="K207" s="172">
        <f>SUM(K208)+K210</f>
        <v>72000</v>
      </c>
      <c r="L207" s="172">
        <f>SUM(F207)+I207</f>
        <v>75917.3</v>
      </c>
      <c r="M207" s="172">
        <f>SUM(G207)+J207</f>
        <v>0</v>
      </c>
      <c r="N207" s="172">
        <f>SUM(H207)+K207</f>
        <v>75917.3</v>
      </c>
      <c r="O207" s="178">
        <f t="shared" si="41"/>
        <v>75917.3</v>
      </c>
      <c r="P207" s="92">
        <f t="shared" si="42"/>
        <v>0</v>
      </c>
    </row>
    <row r="208" spans="1:16" ht="52.9" customHeight="1" x14ac:dyDescent="0.2">
      <c r="A208" s="42"/>
      <c r="B208" s="158" t="s">
        <v>480</v>
      </c>
      <c r="C208" s="169" t="s">
        <v>470</v>
      </c>
      <c r="D208" s="170"/>
      <c r="E208" s="171"/>
      <c r="F208" s="172">
        <f>SUM(F209)</f>
        <v>3350</v>
      </c>
      <c r="G208" s="172">
        <f>SUM(G209)</f>
        <v>0</v>
      </c>
      <c r="H208" s="172">
        <f>SUM(F208)+G208</f>
        <v>3350</v>
      </c>
      <c r="I208" s="188"/>
      <c r="J208" s="189"/>
      <c r="K208" s="188"/>
      <c r="L208" s="172">
        <f t="shared" si="53"/>
        <v>3350</v>
      </c>
      <c r="M208" s="172">
        <f t="shared" si="53"/>
        <v>0</v>
      </c>
      <c r="N208" s="172">
        <f t="shared" si="53"/>
        <v>3350</v>
      </c>
      <c r="O208" s="178">
        <f t="shared" si="41"/>
        <v>3350</v>
      </c>
      <c r="P208" s="92">
        <f t="shared" si="42"/>
        <v>0</v>
      </c>
    </row>
    <row r="209" spans="1:17" ht="31.5" customHeight="1" x14ac:dyDescent="0.2">
      <c r="A209" s="42"/>
      <c r="B209" s="168" t="s">
        <v>41</v>
      </c>
      <c r="C209" s="169" t="s">
        <v>470</v>
      </c>
      <c r="D209" s="170" t="s">
        <v>42</v>
      </c>
      <c r="E209" s="171"/>
      <c r="F209" s="172">
        <v>3350</v>
      </c>
      <c r="G209" s="172"/>
      <c r="H209" s="172">
        <f>SUM(F209)+G209</f>
        <v>3350</v>
      </c>
      <c r="I209" s="188"/>
      <c r="J209" s="189"/>
      <c r="K209" s="188"/>
      <c r="L209" s="172">
        <f t="shared" si="53"/>
        <v>3350</v>
      </c>
      <c r="M209" s="172">
        <f t="shared" si="53"/>
        <v>0</v>
      </c>
      <c r="N209" s="172">
        <f t="shared" si="53"/>
        <v>3350</v>
      </c>
      <c r="O209" s="178">
        <f t="shared" si="41"/>
        <v>3350</v>
      </c>
      <c r="P209" s="92">
        <f t="shared" si="42"/>
        <v>0</v>
      </c>
    </row>
    <row r="210" spans="1:17" ht="123" customHeight="1" x14ac:dyDescent="0.2">
      <c r="A210" s="42"/>
      <c r="B210" s="288" t="s">
        <v>506</v>
      </c>
      <c r="C210" s="169" t="s">
        <v>500</v>
      </c>
      <c r="D210" s="170"/>
      <c r="E210" s="171"/>
      <c r="F210" s="172">
        <f>SUM(F211)</f>
        <v>567.29999999999995</v>
      </c>
      <c r="G210" s="172"/>
      <c r="H210" s="172">
        <f>SUM(G210)+F210</f>
        <v>567.29999999999995</v>
      </c>
      <c r="I210" s="188">
        <f>SUM(I211)</f>
        <v>72000</v>
      </c>
      <c r="J210" s="189"/>
      <c r="K210" s="188">
        <f>SUM(I210)</f>
        <v>72000</v>
      </c>
      <c r="L210" s="172">
        <f>SUM(F210+I210)</f>
        <v>72567.3</v>
      </c>
      <c r="M210" s="172">
        <f>SUM(G210+J210)</f>
        <v>0</v>
      </c>
      <c r="N210" s="172">
        <f>SUM(M210)+L210</f>
        <v>72567.3</v>
      </c>
      <c r="O210" s="178">
        <f t="shared" si="41"/>
        <v>72567.3</v>
      </c>
      <c r="P210" s="92">
        <f t="shared" si="42"/>
        <v>0</v>
      </c>
    </row>
    <row r="211" spans="1:17" ht="31.5" customHeight="1" x14ac:dyDescent="0.2">
      <c r="A211" s="42"/>
      <c r="B211" s="168" t="s">
        <v>41</v>
      </c>
      <c r="C211" s="169" t="s">
        <v>500</v>
      </c>
      <c r="D211" s="170" t="s">
        <v>42</v>
      </c>
      <c r="E211" s="171"/>
      <c r="F211" s="172">
        <v>567.29999999999995</v>
      </c>
      <c r="G211" s="172"/>
      <c r="H211" s="172">
        <f>SUM(F211)</f>
        <v>567.29999999999995</v>
      </c>
      <c r="I211" s="188">
        <v>72000</v>
      </c>
      <c r="J211" s="189"/>
      <c r="K211" s="188">
        <f>SUM(J211)+I211</f>
        <v>72000</v>
      </c>
      <c r="L211" s="172">
        <f>SUM(F211+I211)</f>
        <v>72567.3</v>
      </c>
      <c r="M211" s="172">
        <f>SUM(G211+J211)</f>
        <v>0</v>
      </c>
      <c r="N211" s="172">
        <f>SUM(M211)+L211</f>
        <v>72567.3</v>
      </c>
      <c r="O211" s="178"/>
      <c r="P211" s="92"/>
    </row>
    <row r="212" spans="1:17" ht="49.5" customHeight="1" x14ac:dyDescent="0.2">
      <c r="A212" s="42"/>
      <c r="B212" s="204" t="s">
        <v>214</v>
      </c>
      <c r="C212" s="169" t="s">
        <v>215</v>
      </c>
      <c r="D212" s="170"/>
      <c r="E212" s="171"/>
      <c r="F212" s="172">
        <f>SUM(F213)</f>
        <v>9931.7000000000007</v>
      </c>
      <c r="G212" s="172">
        <f>SUM(G213)</f>
        <v>1236.3</v>
      </c>
      <c r="H212" s="172">
        <f>SUM(F212)+G212</f>
        <v>11168</v>
      </c>
      <c r="I212" s="188"/>
      <c r="J212" s="189"/>
      <c r="K212" s="188"/>
      <c r="L212" s="172">
        <f t="shared" si="53"/>
        <v>9931.7000000000007</v>
      </c>
      <c r="M212" s="172">
        <f t="shared" si="53"/>
        <v>1236.3</v>
      </c>
      <c r="N212" s="172">
        <f t="shared" si="53"/>
        <v>11168</v>
      </c>
      <c r="O212" s="178">
        <f t="shared" si="41"/>
        <v>11168</v>
      </c>
      <c r="P212" s="92">
        <f t="shared" si="42"/>
        <v>0</v>
      </c>
    </row>
    <row r="213" spans="1:17" ht="63" x14ac:dyDescent="0.2">
      <c r="A213" s="42"/>
      <c r="B213" s="205" t="s">
        <v>216</v>
      </c>
      <c r="C213" s="169" t="s">
        <v>217</v>
      </c>
      <c r="D213" s="170"/>
      <c r="E213" s="171"/>
      <c r="F213" s="172">
        <v>9931.7000000000007</v>
      </c>
      <c r="G213" s="172">
        <f>SUM(G214)</f>
        <v>1236.3</v>
      </c>
      <c r="H213" s="172">
        <f>SUM(F213)+G213</f>
        <v>11168</v>
      </c>
      <c r="I213" s="188"/>
      <c r="J213" s="189"/>
      <c r="K213" s="188"/>
      <c r="L213" s="172">
        <f t="shared" si="53"/>
        <v>9931.7000000000007</v>
      </c>
      <c r="M213" s="172">
        <f t="shared" si="53"/>
        <v>1236.3</v>
      </c>
      <c r="N213" s="172">
        <f t="shared" si="53"/>
        <v>11168</v>
      </c>
      <c r="O213" s="178">
        <f t="shared" si="41"/>
        <v>11168</v>
      </c>
      <c r="P213" s="92">
        <f t="shared" si="42"/>
        <v>0</v>
      </c>
    </row>
    <row r="214" spans="1:17" ht="18.75" x14ac:dyDescent="0.2">
      <c r="A214" s="42"/>
      <c r="B214" s="168" t="s">
        <v>41</v>
      </c>
      <c r="C214" s="169" t="s">
        <v>217</v>
      </c>
      <c r="D214" s="170" t="s">
        <v>42</v>
      </c>
      <c r="E214" s="171"/>
      <c r="F214" s="172">
        <v>9931.7000000000007</v>
      </c>
      <c r="G214" s="172">
        <v>1236.3</v>
      </c>
      <c r="H214" s="172">
        <f>SUM(F214)+G214</f>
        <v>11168</v>
      </c>
      <c r="I214" s="188"/>
      <c r="J214" s="189"/>
      <c r="K214" s="188"/>
      <c r="L214" s="172">
        <f t="shared" si="53"/>
        <v>9931.7000000000007</v>
      </c>
      <c r="M214" s="172">
        <f t="shared" si="53"/>
        <v>1236.3</v>
      </c>
      <c r="N214" s="172">
        <f t="shared" si="53"/>
        <v>11168</v>
      </c>
      <c r="O214" s="178">
        <f t="shared" si="41"/>
        <v>11168</v>
      </c>
      <c r="P214" s="92">
        <f t="shared" si="42"/>
        <v>0</v>
      </c>
    </row>
    <row r="215" spans="1:17" ht="29.25" customHeight="1" x14ac:dyDescent="0.2">
      <c r="A215" s="19" t="s">
        <v>218</v>
      </c>
      <c r="B215" s="182" t="s">
        <v>219</v>
      </c>
      <c r="C215" s="183" t="s">
        <v>220</v>
      </c>
      <c r="D215" s="184" t="s">
        <v>26</v>
      </c>
      <c r="E215" s="185"/>
      <c r="F215" s="186">
        <f>F226+F231+F240+F244+F220</f>
        <v>20171.5</v>
      </c>
      <c r="G215" s="186">
        <f>SUM(G221)+G240+G231+G244</f>
        <v>0</v>
      </c>
      <c r="H215" s="186">
        <f>H226+H231+H240+H244+H220+H216</f>
        <v>20171.5</v>
      </c>
      <c r="I215" s="187">
        <f>I226+I231+I240+I244+I220</f>
        <v>151494</v>
      </c>
      <c r="J215" s="186">
        <f>J226+J231+J240+J244+J220</f>
        <v>0</v>
      </c>
      <c r="K215" s="187">
        <f>K226+K231+K240+K244+K220</f>
        <v>151494</v>
      </c>
      <c r="L215" s="186">
        <f>SUM(F215+I215)</f>
        <v>171665.5</v>
      </c>
      <c r="M215" s="186">
        <f>SUM(G215+J215)</f>
        <v>0</v>
      </c>
      <c r="N215" s="186">
        <f>SUM(H215+K215)</f>
        <v>171665.5</v>
      </c>
      <c r="O215" s="178">
        <f t="shared" ref="O215:O278" si="54">L215+M215</f>
        <v>171665.5</v>
      </c>
      <c r="P215" s="92">
        <f t="shared" ref="P215:P278" si="55">O215-N215</f>
        <v>0</v>
      </c>
      <c r="Q215" s="25"/>
    </row>
    <row r="216" spans="1:17" ht="18.75" hidden="1" x14ac:dyDescent="0.2">
      <c r="A216" s="19"/>
      <c r="B216" s="190" t="s">
        <v>177</v>
      </c>
      <c r="C216" s="169"/>
      <c r="D216" s="184"/>
      <c r="E216" s="185"/>
      <c r="F216" s="186"/>
      <c r="G216" s="172"/>
      <c r="H216" s="186">
        <f>SUM(G216)</f>
        <v>0</v>
      </c>
      <c r="I216" s="187"/>
      <c r="J216" s="172">
        <f>SUM(J217)</f>
        <v>0</v>
      </c>
      <c r="K216" s="187">
        <f t="shared" ref="K216:K223" si="56">SUM(J216)</f>
        <v>0</v>
      </c>
      <c r="L216" s="186"/>
      <c r="M216" s="186">
        <f>SUM(G216+J216)</f>
        <v>0</v>
      </c>
      <c r="N216" s="186">
        <f>SUM(H216+K216)</f>
        <v>0</v>
      </c>
      <c r="O216" s="178">
        <f t="shared" si="54"/>
        <v>0</v>
      </c>
      <c r="P216" s="92">
        <f t="shared" si="55"/>
        <v>0</v>
      </c>
      <c r="Q216" s="25"/>
    </row>
    <row r="217" spans="1:17" ht="47.25" hidden="1" x14ac:dyDescent="0.2">
      <c r="A217" s="19"/>
      <c r="B217" s="168" t="s">
        <v>179</v>
      </c>
      <c r="C217" s="169" t="s">
        <v>451</v>
      </c>
      <c r="D217" s="184" t="s">
        <v>26</v>
      </c>
      <c r="E217" s="185"/>
      <c r="F217" s="186"/>
      <c r="G217" s="172"/>
      <c r="H217" s="186">
        <f>SUM(G217)</f>
        <v>0</v>
      </c>
      <c r="I217" s="187"/>
      <c r="J217" s="172">
        <f>SUM(J218)</f>
        <v>0</v>
      </c>
      <c r="K217" s="187">
        <f t="shared" si="56"/>
        <v>0</v>
      </c>
      <c r="L217" s="186"/>
      <c r="M217" s="186">
        <f>SUM(J217)+G217</f>
        <v>0</v>
      </c>
      <c r="N217" s="186">
        <f>SUM(M217)</f>
        <v>0</v>
      </c>
      <c r="O217" s="178">
        <f t="shared" si="54"/>
        <v>0</v>
      </c>
      <c r="P217" s="92">
        <f t="shared" si="55"/>
        <v>0</v>
      </c>
      <c r="Q217" s="25"/>
    </row>
    <row r="218" spans="1:17" ht="31.5" hidden="1" x14ac:dyDescent="0.2">
      <c r="A218" s="19"/>
      <c r="B218" s="168" t="s">
        <v>193</v>
      </c>
      <c r="C218" s="169" t="s">
        <v>451</v>
      </c>
      <c r="D218" s="184"/>
      <c r="E218" s="185"/>
      <c r="F218" s="169"/>
      <c r="G218" s="172"/>
      <c r="H218" s="186">
        <f>SUM(G218)</f>
        <v>0</v>
      </c>
      <c r="I218" s="187"/>
      <c r="J218" s="172">
        <f>SUM(J219)</f>
        <v>0</v>
      </c>
      <c r="K218" s="187">
        <f t="shared" si="56"/>
        <v>0</v>
      </c>
      <c r="L218" s="186"/>
      <c r="M218" s="186">
        <f>SUM(J218)+G218</f>
        <v>0</v>
      </c>
      <c r="N218" s="186">
        <f>SUM(M218)</f>
        <v>0</v>
      </c>
      <c r="O218" s="178">
        <f t="shared" si="54"/>
        <v>0</v>
      </c>
      <c r="P218" s="92">
        <f t="shared" si="55"/>
        <v>0</v>
      </c>
      <c r="Q218" s="25"/>
    </row>
    <row r="219" spans="1:17" ht="31.5" hidden="1" x14ac:dyDescent="0.2">
      <c r="A219" s="19"/>
      <c r="B219" s="168" t="s">
        <v>35</v>
      </c>
      <c r="C219" s="169" t="s">
        <v>451</v>
      </c>
      <c r="D219" s="170" t="s">
        <v>36</v>
      </c>
      <c r="E219" s="185"/>
      <c r="F219" s="186"/>
      <c r="G219" s="172"/>
      <c r="H219" s="186">
        <f>SUM(G219)</f>
        <v>0</v>
      </c>
      <c r="I219" s="187"/>
      <c r="J219" s="172"/>
      <c r="K219" s="187">
        <f t="shared" si="56"/>
        <v>0</v>
      </c>
      <c r="L219" s="186"/>
      <c r="M219" s="186">
        <f>SUM(J219)+G219</f>
        <v>0</v>
      </c>
      <c r="N219" s="186">
        <f>SUM(M219)</f>
        <v>0</v>
      </c>
      <c r="O219" s="178">
        <f t="shared" si="54"/>
        <v>0</v>
      </c>
      <c r="P219" s="92">
        <f t="shared" si="55"/>
        <v>0</v>
      </c>
      <c r="Q219" s="25"/>
    </row>
    <row r="220" spans="1:17" ht="18.75" x14ac:dyDescent="0.2">
      <c r="A220" s="19"/>
      <c r="B220" s="190" t="s">
        <v>221</v>
      </c>
      <c r="C220" s="191" t="s">
        <v>222</v>
      </c>
      <c r="D220" s="192"/>
      <c r="E220" s="193"/>
      <c r="F220" s="172">
        <f>F221</f>
        <v>3623</v>
      </c>
      <c r="G220" s="172">
        <f>SUM(G221)</f>
        <v>0</v>
      </c>
      <c r="H220" s="172">
        <f t="shared" ref="H220:H225" si="57">SUM(F220)+G220</f>
        <v>3623</v>
      </c>
      <c r="I220" s="172">
        <f>SUM(I221)</f>
        <v>3300</v>
      </c>
      <c r="J220" s="172">
        <f>SUM(J221)</f>
        <v>0</v>
      </c>
      <c r="K220" s="172">
        <f>SUM(K221)</f>
        <v>3300</v>
      </c>
      <c r="L220" s="172">
        <f>SUM(F220)+I220</f>
        <v>6923</v>
      </c>
      <c r="M220" s="194">
        <f>SUM(M221)</f>
        <v>0</v>
      </c>
      <c r="N220" s="194">
        <f>SUM(L220+M220)</f>
        <v>6923</v>
      </c>
      <c r="O220" s="178">
        <f t="shared" si="54"/>
        <v>6923</v>
      </c>
      <c r="P220" s="92">
        <f t="shared" si="55"/>
        <v>0</v>
      </c>
      <c r="Q220" s="25"/>
    </row>
    <row r="221" spans="1:17" ht="19.149999999999999" customHeight="1" x14ac:dyDescent="0.2">
      <c r="A221" s="19"/>
      <c r="B221" s="168" t="s">
        <v>223</v>
      </c>
      <c r="C221" s="169" t="s">
        <v>224</v>
      </c>
      <c r="D221" s="170"/>
      <c r="E221" s="171"/>
      <c r="F221" s="172">
        <f>F222+F224</f>
        <v>3623</v>
      </c>
      <c r="G221" s="172">
        <f>SUM(G222)+G224</f>
        <v>0</v>
      </c>
      <c r="H221" s="172">
        <f t="shared" si="57"/>
        <v>3623</v>
      </c>
      <c r="I221" s="172">
        <f>SUM(I222)+I224</f>
        <v>3300</v>
      </c>
      <c r="J221" s="172"/>
      <c r="K221" s="172">
        <f>SUM(K222)+K224</f>
        <v>3300</v>
      </c>
      <c r="L221" s="172">
        <f>SUM(F221)+I221</f>
        <v>6923</v>
      </c>
      <c r="M221" s="172">
        <f>SUM(G221+J221)</f>
        <v>0</v>
      </c>
      <c r="N221" s="172">
        <f>SUM(L221+M221)</f>
        <v>6923</v>
      </c>
      <c r="O221" s="178">
        <f t="shared" si="54"/>
        <v>6923</v>
      </c>
      <c r="P221" s="92">
        <f t="shared" si="55"/>
        <v>0</v>
      </c>
      <c r="Q221" s="25"/>
    </row>
    <row r="222" spans="1:17" ht="18.75" x14ac:dyDescent="0.2">
      <c r="A222" s="19"/>
      <c r="B222" s="168" t="s">
        <v>67</v>
      </c>
      <c r="C222" s="169" t="s">
        <v>225</v>
      </c>
      <c r="D222" s="170"/>
      <c r="E222" s="171"/>
      <c r="F222" s="172">
        <f>F223</f>
        <v>2059</v>
      </c>
      <c r="G222" s="172">
        <f>SUM(G223)</f>
        <v>0</v>
      </c>
      <c r="H222" s="172">
        <f t="shared" si="57"/>
        <v>2059</v>
      </c>
      <c r="I222" s="188"/>
      <c r="J222" s="172">
        <f>SUM(J223)</f>
        <v>0</v>
      </c>
      <c r="K222" s="188">
        <f t="shared" si="56"/>
        <v>0</v>
      </c>
      <c r="L222" s="172">
        <f>SUM(F222)</f>
        <v>2059</v>
      </c>
      <c r="M222" s="172">
        <f>SUM(M223)</f>
        <v>0</v>
      </c>
      <c r="N222" s="172">
        <f>SUM(L222+M222)</f>
        <v>2059</v>
      </c>
      <c r="O222" s="178">
        <f t="shared" si="54"/>
        <v>2059</v>
      </c>
      <c r="P222" s="92">
        <f t="shared" si="55"/>
        <v>0</v>
      </c>
      <c r="Q222" s="25"/>
    </row>
    <row r="223" spans="1:17" ht="31.5" x14ac:dyDescent="0.2">
      <c r="A223" s="19"/>
      <c r="B223" s="168" t="s">
        <v>35</v>
      </c>
      <c r="C223" s="169" t="s">
        <v>225</v>
      </c>
      <c r="D223" s="170" t="s">
        <v>36</v>
      </c>
      <c r="E223" s="171"/>
      <c r="F223" s="172">
        <v>2059</v>
      </c>
      <c r="G223" s="172"/>
      <c r="H223" s="172">
        <f t="shared" si="57"/>
        <v>2059</v>
      </c>
      <c r="I223" s="188"/>
      <c r="J223" s="189"/>
      <c r="K223" s="188">
        <f t="shared" si="56"/>
        <v>0</v>
      </c>
      <c r="L223" s="172">
        <f>SUM(F223)</f>
        <v>2059</v>
      </c>
      <c r="M223" s="172">
        <f>SUM(G223)+J223</f>
        <v>0</v>
      </c>
      <c r="N223" s="172">
        <f>SUM(H223+K223)</f>
        <v>2059</v>
      </c>
      <c r="O223" s="178">
        <f t="shared" si="54"/>
        <v>2059</v>
      </c>
      <c r="P223" s="92">
        <f t="shared" si="55"/>
        <v>0</v>
      </c>
      <c r="Q223" s="25"/>
    </row>
    <row r="224" spans="1:17" ht="31.5" x14ac:dyDescent="0.2">
      <c r="A224" s="19"/>
      <c r="B224" s="168" t="s">
        <v>193</v>
      </c>
      <c r="C224" s="169" t="s">
        <v>451</v>
      </c>
      <c r="D224" s="170"/>
      <c r="E224" s="171"/>
      <c r="F224" s="172">
        <f>F225</f>
        <v>1564</v>
      </c>
      <c r="G224" s="172">
        <f>SUM(G225)</f>
        <v>0</v>
      </c>
      <c r="H224" s="172">
        <f t="shared" si="57"/>
        <v>1564</v>
      </c>
      <c r="I224" s="188">
        <v>3300</v>
      </c>
      <c r="J224" s="189"/>
      <c r="K224" s="188">
        <f>SUM(I224)</f>
        <v>3300</v>
      </c>
      <c r="L224" s="172">
        <f>SUM(F224+I224)</f>
        <v>4864</v>
      </c>
      <c r="M224" s="172">
        <f>SUM(G224)+J224</f>
        <v>0</v>
      </c>
      <c r="N224" s="172">
        <f>SUM(H224)+K224</f>
        <v>4864</v>
      </c>
      <c r="O224" s="178">
        <f t="shared" si="54"/>
        <v>4864</v>
      </c>
      <c r="P224" s="92">
        <f t="shared" si="55"/>
        <v>0</v>
      </c>
      <c r="Q224" s="25"/>
    </row>
    <row r="225" spans="1:17" ht="31.5" x14ac:dyDescent="0.2">
      <c r="A225" s="19"/>
      <c r="B225" s="168" t="s">
        <v>35</v>
      </c>
      <c r="C225" s="169" t="s">
        <v>451</v>
      </c>
      <c r="D225" s="170" t="s">
        <v>36</v>
      </c>
      <c r="E225" s="171"/>
      <c r="F225" s="172">
        <v>1564</v>
      </c>
      <c r="G225" s="172"/>
      <c r="H225" s="172">
        <f t="shared" si="57"/>
        <v>1564</v>
      </c>
      <c r="I225" s="188">
        <v>3300</v>
      </c>
      <c r="J225" s="189"/>
      <c r="K225" s="188">
        <f>SUM(I225)</f>
        <v>3300</v>
      </c>
      <c r="L225" s="172">
        <f>SUM(F225+I225)</f>
        <v>4864</v>
      </c>
      <c r="M225" s="172">
        <f>SUM(G225)+J225</f>
        <v>0</v>
      </c>
      <c r="N225" s="172">
        <f>SUM(H225)+K225</f>
        <v>4864</v>
      </c>
      <c r="O225" s="178">
        <f t="shared" si="54"/>
        <v>4864</v>
      </c>
      <c r="P225" s="92">
        <f t="shared" si="55"/>
        <v>0</v>
      </c>
      <c r="Q225" s="25"/>
    </row>
    <row r="226" spans="1:17" ht="31.5" x14ac:dyDescent="0.2">
      <c r="A226" s="49"/>
      <c r="B226" s="206" t="s">
        <v>226</v>
      </c>
      <c r="C226" s="207" t="s">
        <v>227</v>
      </c>
      <c r="D226" s="208" t="s">
        <v>26</v>
      </c>
      <c r="E226" s="209"/>
      <c r="F226" s="210">
        <f t="shared" ref="F226:N227" si="58">F227</f>
        <v>330</v>
      </c>
      <c r="G226" s="210">
        <f t="shared" si="58"/>
        <v>0</v>
      </c>
      <c r="H226" s="210">
        <f t="shared" si="58"/>
        <v>330</v>
      </c>
      <c r="I226" s="211">
        <f t="shared" si="58"/>
        <v>0</v>
      </c>
      <c r="J226" s="212"/>
      <c r="K226" s="211">
        <f t="shared" si="58"/>
        <v>0</v>
      </c>
      <c r="L226" s="210">
        <f t="shared" si="58"/>
        <v>330</v>
      </c>
      <c r="M226" s="210">
        <f t="shared" si="58"/>
        <v>0</v>
      </c>
      <c r="N226" s="210">
        <f t="shared" si="58"/>
        <v>330</v>
      </c>
      <c r="O226" s="178">
        <f t="shared" si="54"/>
        <v>330</v>
      </c>
      <c r="P226" s="92">
        <f t="shared" si="55"/>
        <v>0</v>
      </c>
    </row>
    <row r="227" spans="1:17" ht="31.5" x14ac:dyDescent="0.2">
      <c r="A227" s="42"/>
      <c r="B227" s="168" t="s">
        <v>228</v>
      </c>
      <c r="C227" s="169" t="s">
        <v>229</v>
      </c>
      <c r="D227" s="170" t="s">
        <v>26</v>
      </c>
      <c r="E227" s="171"/>
      <c r="F227" s="172">
        <f t="shared" si="58"/>
        <v>330</v>
      </c>
      <c r="G227" s="172">
        <f t="shared" si="58"/>
        <v>0</v>
      </c>
      <c r="H227" s="172">
        <f t="shared" si="58"/>
        <v>330</v>
      </c>
      <c r="I227" s="188">
        <f t="shared" si="58"/>
        <v>0</v>
      </c>
      <c r="J227" s="189"/>
      <c r="K227" s="188">
        <f t="shared" si="58"/>
        <v>0</v>
      </c>
      <c r="L227" s="172">
        <f t="shared" si="58"/>
        <v>330</v>
      </c>
      <c r="M227" s="172">
        <f t="shared" si="58"/>
        <v>0</v>
      </c>
      <c r="N227" s="172">
        <f t="shared" si="58"/>
        <v>330</v>
      </c>
      <c r="O227" s="178">
        <f t="shared" si="54"/>
        <v>330</v>
      </c>
      <c r="P227" s="92">
        <f t="shared" si="55"/>
        <v>0</v>
      </c>
    </row>
    <row r="228" spans="1:17" ht="31.5" x14ac:dyDescent="0.2">
      <c r="A228" s="42"/>
      <c r="B228" s="168" t="s">
        <v>226</v>
      </c>
      <c r="C228" s="169" t="s">
        <v>230</v>
      </c>
      <c r="D228" s="170" t="s">
        <v>26</v>
      </c>
      <c r="E228" s="171"/>
      <c r="F228" s="172">
        <f>F230+F229</f>
        <v>330</v>
      </c>
      <c r="G228" s="172">
        <f>G230+G229</f>
        <v>0</v>
      </c>
      <c r="H228" s="172">
        <f>H230+H229</f>
        <v>330</v>
      </c>
      <c r="I228" s="188">
        <f>I230+I229</f>
        <v>0</v>
      </c>
      <c r="J228" s="189"/>
      <c r="K228" s="188">
        <f>K230+K229</f>
        <v>0</v>
      </c>
      <c r="L228" s="172">
        <f>L230+L229</f>
        <v>330</v>
      </c>
      <c r="M228" s="172">
        <f>M230+M229</f>
        <v>0</v>
      </c>
      <c r="N228" s="172">
        <f>N230+N229</f>
        <v>330</v>
      </c>
      <c r="O228" s="178">
        <f t="shared" si="54"/>
        <v>330</v>
      </c>
      <c r="P228" s="92">
        <f t="shared" si="55"/>
        <v>0</v>
      </c>
    </row>
    <row r="229" spans="1:17" ht="31.5" x14ac:dyDescent="0.2">
      <c r="A229" s="42"/>
      <c r="B229" s="168" t="s">
        <v>35</v>
      </c>
      <c r="C229" s="169" t="s">
        <v>230</v>
      </c>
      <c r="D229" s="170" t="s">
        <v>36</v>
      </c>
      <c r="E229" s="171"/>
      <c r="F229" s="172">
        <v>200</v>
      </c>
      <c r="G229" s="172"/>
      <c r="H229" s="172">
        <v>200</v>
      </c>
      <c r="I229" s="188">
        <v>0</v>
      </c>
      <c r="J229" s="189"/>
      <c r="K229" s="188">
        <v>0</v>
      </c>
      <c r="L229" s="172">
        <v>200</v>
      </c>
      <c r="M229" s="172"/>
      <c r="N229" s="172">
        <v>200</v>
      </c>
      <c r="O229" s="178">
        <f t="shared" si="54"/>
        <v>200</v>
      </c>
      <c r="P229" s="92">
        <f t="shared" si="55"/>
        <v>0</v>
      </c>
    </row>
    <row r="230" spans="1:17" ht="18.75" x14ac:dyDescent="0.2">
      <c r="A230" s="42"/>
      <c r="B230" s="168" t="s">
        <v>41</v>
      </c>
      <c r="C230" s="169" t="s">
        <v>230</v>
      </c>
      <c r="D230" s="170" t="s">
        <v>42</v>
      </c>
      <c r="E230" s="171"/>
      <c r="F230" s="172">
        <v>130</v>
      </c>
      <c r="G230" s="172"/>
      <c r="H230" s="172">
        <v>130</v>
      </c>
      <c r="I230" s="188">
        <v>0</v>
      </c>
      <c r="J230" s="189"/>
      <c r="K230" s="188">
        <v>0</v>
      </c>
      <c r="L230" s="172">
        <v>130</v>
      </c>
      <c r="M230" s="172"/>
      <c r="N230" s="172">
        <v>130</v>
      </c>
      <c r="O230" s="178">
        <f t="shared" si="54"/>
        <v>130</v>
      </c>
      <c r="P230" s="92">
        <f t="shared" si="55"/>
        <v>0</v>
      </c>
    </row>
    <row r="231" spans="1:17" ht="22.15" customHeight="1" x14ac:dyDescent="0.2">
      <c r="A231" s="49"/>
      <c r="B231" s="190" t="s">
        <v>231</v>
      </c>
      <c r="C231" s="191" t="s">
        <v>232</v>
      </c>
      <c r="D231" s="192" t="s">
        <v>26</v>
      </c>
      <c r="E231" s="193"/>
      <c r="F231" s="194">
        <f t="shared" ref="F231:N232" si="59">F232</f>
        <v>4396.1000000000004</v>
      </c>
      <c r="G231" s="194">
        <f t="shared" si="59"/>
        <v>0</v>
      </c>
      <c r="H231" s="194">
        <f t="shared" si="59"/>
        <v>4396.1000000000004</v>
      </c>
      <c r="I231" s="195">
        <f t="shared" si="59"/>
        <v>0</v>
      </c>
      <c r="J231" s="194">
        <f t="shared" si="59"/>
        <v>0</v>
      </c>
      <c r="K231" s="195">
        <f t="shared" si="59"/>
        <v>0</v>
      </c>
      <c r="L231" s="194">
        <f t="shared" si="59"/>
        <v>4396.1000000000004</v>
      </c>
      <c r="M231" s="194">
        <f t="shared" si="59"/>
        <v>0</v>
      </c>
      <c r="N231" s="194">
        <f t="shared" si="59"/>
        <v>4396.1000000000004</v>
      </c>
      <c r="O231" s="178">
        <f t="shared" si="54"/>
        <v>4396.1000000000004</v>
      </c>
      <c r="P231" s="92">
        <f t="shared" si="55"/>
        <v>0</v>
      </c>
    </row>
    <row r="232" spans="1:17" ht="34.9" customHeight="1" x14ac:dyDescent="0.2">
      <c r="A232" s="42"/>
      <c r="B232" s="168" t="s">
        <v>233</v>
      </c>
      <c r="C232" s="169" t="s">
        <v>234</v>
      </c>
      <c r="D232" s="170" t="s">
        <v>26</v>
      </c>
      <c r="E232" s="171"/>
      <c r="F232" s="172">
        <f t="shared" si="59"/>
        <v>4396.1000000000004</v>
      </c>
      <c r="G232" s="172">
        <f>G233+G238</f>
        <v>0</v>
      </c>
      <c r="H232" s="172">
        <f t="shared" si="59"/>
        <v>4396.1000000000004</v>
      </c>
      <c r="I232" s="188">
        <f t="shared" si="59"/>
        <v>0</v>
      </c>
      <c r="J232" s="189"/>
      <c r="K232" s="188">
        <f t="shared" si="59"/>
        <v>0</v>
      </c>
      <c r="L232" s="172">
        <f t="shared" si="59"/>
        <v>4396.1000000000004</v>
      </c>
      <c r="M232" s="172">
        <f>SUM(G232)</f>
        <v>0</v>
      </c>
      <c r="N232" s="172">
        <f>N233</f>
        <v>4396.1000000000004</v>
      </c>
      <c r="O232" s="178">
        <f t="shared" si="54"/>
        <v>4396.1000000000004</v>
      </c>
      <c r="P232" s="92">
        <f t="shared" si="55"/>
        <v>0</v>
      </c>
    </row>
    <row r="233" spans="1:17" ht="31.5" x14ac:dyDescent="0.2">
      <c r="A233" s="42"/>
      <c r="B233" s="168" t="s">
        <v>39</v>
      </c>
      <c r="C233" s="169" t="s">
        <v>235</v>
      </c>
      <c r="D233" s="170" t="s">
        <v>26</v>
      </c>
      <c r="E233" s="171"/>
      <c r="F233" s="172">
        <f>F234+F235</f>
        <v>4396.1000000000004</v>
      </c>
      <c r="G233" s="172">
        <f>G234+G235</f>
        <v>0</v>
      </c>
      <c r="H233" s="172">
        <f>H234+H235</f>
        <v>4396.1000000000004</v>
      </c>
      <c r="I233" s="188">
        <f>I234+I235</f>
        <v>0</v>
      </c>
      <c r="J233" s="189"/>
      <c r="K233" s="188">
        <f>K234+K235</f>
        <v>0</v>
      </c>
      <c r="L233" s="172">
        <f>L234+L235</f>
        <v>4396.1000000000004</v>
      </c>
      <c r="M233" s="172">
        <f>M234+M235</f>
        <v>0</v>
      </c>
      <c r="N233" s="172">
        <f>N234+N235</f>
        <v>4396.1000000000004</v>
      </c>
      <c r="O233" s="178">
        <f t="shared" si="54"/>
        <v>4396.1000000000004</v>
      </c>
      <c r="P233" s="92">
        <f t="shared" si="55"/>
        <v>0</v>
      </c>
    </row>
    <row r="234" spans="1:17" ht="66" customHeight="1" x14ac:dyDescent="0.2">
      <c r="A234" s="42"/>
      <c r="B234" s="168" t="s">
        <v>31</v>
      </c>
      <c r="C234" s="169" t="s">
        <v>235</v>
      </c>
      <c r="D234" s="170" t="s">
        <v>32</v>
      </c>
      <c r="E234" s="171"/>
      <c r="F234" s="172">
        <v>4250.6000000000004</v>
      </c>
      <c r="G234" s="172"/>
      <c r="H234" s="172">
        <f>SUM(F234)</f>
        <v>4250.6000000000004</v>
      </c>
      <c r="I234" s="188">
        <v>0</v>
      </c>
      <c r="J234" s="189"/>
      <c r="K234" s="188">
        <v>0</v>
      </c>
      <c r="L234" s="172">
        <f>SUM(F234)</f>
        <v>4250.6000000000004</v>
      </c>
      <c r="M234" s="172">
        <f>SUM(G234)</f>
        <v>0</v>
      </c>
      <c r="N234" s="172">
        <f>SUM(H234)</f>
        <v>4250.6000000000004</v>
      </c>
      <c r="O234" s="178">
        <f t="shared" si="54"/>
        <v>4250.6000000000004</v>
      </c>
      <c r="P234" s="92">
        <f t="shared" si="55"/>
        <v>0</v>
      </c>
    </row>
    <row r="235" spans="1:17" ht="30.75" customHeight="1" x14ac:dyDescent="0.2">
      <c r="A235" s="42"/>
      <c r="B235" s="168" t="s">
        <v>35</v>
      </c>
      <c r="C235" s="169" t="s">
        <v>235</v>
      </c>
      <c r="D235" s="170" t="s">
        <v>36</v>
      </c>
      <c r="E235" s="171"/>
      <c r="F235" s="172">
        <v>145.5</v>
      </c>
      <c r="G235" s="172"/>
      <c r="H235" s="172">
        <v>145.5</v>
      </c>
      <c r="I235" s="188">
        <v>0</v>
      </c>
      <c r="J235" s="189"/>
      <c r="K235" s="188">
        <v>0</v>
      </c>
      <c r="L235" s="172">
        <v>145.5</v>
      </c>
      <c r="M235" s="172"/>
      <c r="N235" s="172">
        <v>145.5</v>
      </c>
      <c r="O235" s="178">
        <f t="shared" si="54"/>
        <v>145.5</v>
      </c>
      <c r="P235" s="92">
        <f t="shared" si="55"/>
        <v>0</v>
      </c>
    </row>
    <row r="236" spans="1:17" ht="18.75" hidden="1" x14ac:dyDescent="0.2">
      <c r="A236" s="42"/>
      <c r="B236" s="168"/>
      <c r="C236" s="169"/>
      <c r="D236" s="170"/>
      <c r="E236" s="171"/>
      <c r="F236" s="172"/>
      <c r="G236" s="172"/>
      <c r="H236" s="172"/>
      <c r="I236" s="188"/>
      <c r="J236" s="189"/>
      <c r="K236" s="188"/>
      <c r="L236" s="172"/>
      <c r="M236" s="172"/>
      <c r="N236" s="172"/>
      <c r="O236" s="178">
        <f t="shared" si="54"/>
        <v>0</v>
      </c>
      <c r="P236" s="92">
        <f t="shared" si="55"/>
        <v>0</v>
      </c>
    </row>
    <row r="237" spans="1:17" ht="18.75" hidden="1" x14ac:dyDescent="0.2">
      <c r="A237" s="42"/>
      <c r="B237" s="168"/>
      <c r="C237" s="169" t="s">
        <v>457</v>
      </c>
      <c r="D237" s="170"/>
      <c r="E237" s="171"/>
      <c r="F237" s="172"/>
      <c r="G237" s="172"/>
      <c r="H237" s="172"/>
      <c r="I237" s="188"/>
      <c r="J237" s="189"/>
      <c r="K237" s="188"/>
      <c r="L237" s="172"/>
      <c r="M237" s="172"/>
      <c r="N237" s="172"/>
      <c r="O237" s="178">
        <f t="shared" si="54"/>
        <v>0</v>
      </c>
      <c r="P237" s="92">
        <f t="shared" si="55"/>
        <v>0</v>
      </c>
    </row>
    <row r="238" spans="1:17" ht="47.25" hidden="1" x14ac:dyDescent="0.2">
      <c r="A238" s="42"/>
      <c r="B238" s="168" t="s">
        <v>458</v>
      </c>
      <c r="C238" s="169" t="s">
        <v>457</v>
      </c>
      <c r="D238" s="170"/>
      <c r="E238" s="171"/>
      <c r="F238" s="172"/>
      <c r="G238" s="172">
        <f>SUM(G239)</f>
        <v>0</v>
      </c>
      <c r="H238" s="172"/>
      <c r="I238" s="188"/>
      <c r="J238" s="189"/>
      <c r="K238" s="188"/>
      <c r="L238" s="172"/>
      <c r="M238" s="172">
        <f>SUM(G238)</f>
        <v>0</v>
      </c>
      <c r="N238" s="172">
        <f>SUM(H238)</f>
        <v>0</v>
      </c>
      <c r="O238" s="178">
        <f t="shared" si="54"/>
        <v>0</v>
      </c>
      <c r="P238" s="92">
        <f t="shared" si="55"/>
        <v>0</v>
      </c>
    </row>
    <row r="239" spans="1:17" ht="18.75" hidden="1" x14ac:dyDescent="0.2">
      <c r="A239" s="42"/>
      <c r="B239" s="168" t="s">
        <v>278</v>
      </c>
      <c r="C239" s="169" t="s">
        <v>457</v>
      </c>
      <c r="D239" s="170" t="s">
        <v>279</v>
      </c>
      <c r="E239" s="171"/>
      <c r="F239" s="172"/>
      <c r="G239" s="172"/>
      <c r="H239" s="172">
        <f>SUM(G239)</f>
        <v>0</v>
      </c>
      <c r="I239" s="188"/>
      <c r="J239" s="189"/>
      <c r="K239" s="188"/>
      <c r="L239" s="172"/>
      <c r="M239" s="172">
        <f>SUM(G239)</f>
        <v>0</v>
      </c>
      <c r="N239" s="172">
        <f>SUM(H239)</f>
        <v>0</v>
      </c>
      <c r="O239" s="178">
        <f t="shared" si="54"/>
        <v>0</v>
      </c>
      <c r="P239" s="92">
        <f t="shared" si="55"/>
        <v>0</v>
      </c>
    </row>
    <row r="240" spans="1:17" ht="48.6" customHeight="1" x14ac:dyDescent="0.2">
      <c r="A240" s="49"/>
      <c r="B240" s="190" t="s">
        <v>236</v>
      </c>
      <c r="C240" s="191" t="s">
        <v>237</v>
      </c>
      <c r="D240" s="192" t="s">
        <v>26</v>
      </c>
      <c r="E240" s="193"/>
      <c r="F240" s="194">
        <f t="shared" ref="F240:N242" si="60">F241</f>
        <v>600</v>
      </c>
      <c r="G240" s="194">
        <f t="shared" si="60"/>
        <v>0</v>
      </c>
      <c r="H240" s="194">
        <f t="shared" si="60"/>
        <v>600</v>
      </c>
      <c r="I240" s="195">
        <f t="shared" si="60"/>
        <v>0</v>
      </c>
      <c r="J240" s="194">
        <f>J241</f>
        <v>0</v>
      </c>
      <c r="K240" s="195">
        <f t="shared" si="60"/>
        <v>0</v>
      </c>
      <c r="L240" s="194">
        <f t="shared" si="60"/>
        <v>600</v>
      </c>
      <c r="M240" s="194">
        <f t="shared" si="60"/>
        <v>0</v>
      </c>
      <c r="N240" s="194">
        <f t="shared" si="60"/>
        <v>600</v>
      </c>
      <c r="O240" s="178">
        <f t="shared" si="54"/>
        <v>600</v>
      </c>
      <c r="P240" s="92">
        <f t="shared" si="55"/>
        <v>0</v>
      </c>
    </row>
    <row r="241" spans="1:16" ht="33.6" customHeight="1" x14ac:dyDescent="0.2">
      <c r="A241" s="42"/>
      <c r="B241" s="168" t="s">
        <v>238</v>
      </c>
      <c r="C241" s="169" t="s">
        <v>239</v>
      </c>
      <c r="D241" s="170" t="s">
        <v>26</v>
      </c>
      <c r="E241" s="171"/>
      <c r="F241" s="172">
        <f t="shared" si="60"/>
        <v>600</v>
      </c>
      <c r="G241" s="172">
        <f t="shared" si="60"/>
        <v>0</v>
      </c>
      <c r="H241" s="172">
        <f t="shared" si="60"/>
        <v>600</v>
      </c>
      <c r="I241" s="188">
        <f t="shared" si="60"/>
        <v>0</v>
      </c>
      <c r="J241" s="189"/>
      <c r="K241" s="188">
        <f t="shared" si="60"/>
        <v>0</v>
      </c>
      <c r="L241" s="172">
        <f t="shared" si="60"/>
        <v>600</v>
      </c>
      <c r="M241" s="172">
        <f t="shared" si="60"/>
        <v>0</v>
      </c>
      <c r="N241" s="172">
        <f t="shared" si="60"/>
        <v>600</v>
      </c>
      <c r="O241" s="178">
        <f t="shared" si="54"/>
        <v>600</v>
      </c>
      <c r="P241" s="92">
        <f t="shared" si="55"/>
        <v>0</v>
      </c>
    </row>
    <row r="242" spans="1:16" ht="18.75" x14ac:dyDescent="0.2">
      <c r="A242" s="42"/>
      <c r="B242" s="168" t="s">
        <v>240</v>
      </c>
      <c r="C242" s="169" t="s">
        <v>241</v>
      </c>
      <c r="D242" s="170" t="s">
        <v>26</v>
      </c>
      <c r="E242" s="171"/>
      <c r="F242" s="172">
        <f t="shared" si="60"/>
        <v>600</v>
      </c>
      <c r="G242" s="172">
        <f t="shared" si="60"/>
        <v>0</v>
      </c>
      <c r="H242" s="172">
        <f t="shared" si="60"/>
        <v>600</v>
      </c>
      <c r="I242" s="188">
        <f t="shared" si="60"/>
        <v>0</v>
      </c>
      <c r="J242" s="189"/>
      <c r="K242" s="188">
        <f t="shared" si="60"/>
        <v>0</v>
      </c>
      <c r="L242" s="172">
        <f t="shared" si="60"/>
        <v>600</v>
      </c>
      <c r="M242" s="172">
        <f t="shared" si="60"/>
        <v>0</v>
      </c>
      <c r="N242" s="172">
        <f t="shared" si="60"/>
        <v>600</v>
      </c>
      <c r="O242" s="178">
        <f t="shared" si="54"/>
        <v>600</v>
      </c>
      <c r="P242" s="92">
        <f t="shared" si="55"/>
        <v>0</v>
      </c>
    </row>
    <row r="243" spans="1:16" ht="31.5" x14ac:dyDescent="0.2">
      <c r="A243" s="42"/>
      <c r="B243" s="168" t="s">
        <v>35</v>
      </c>
      <c r="C243" s="169" t="s">
        <v>241</v>
      </c>
      <c r="D243" s="170" t="s">
        <v>36</v>
      </c>
      <c r="E243" s="171"/>
      <c r="F243" s="172">
        <v>600</v>
      </c>
      <c r="G243" s="172"/>
      <c r="H243" s="172">
        <f>F243+G243</f>
        <v>600</v>
      </c>
      <c r="I243" s="188">
        <v>0</v>
      </c>
      <c r="J243" s="189"/>
      <c r="K243" s="188">
        <v>0</v>
      </c>
      <c r="L243" s="172">
        <f>SUM(F243)</f>
        <v>600</v>
      </c>
      <c r="M243" s="172">
        <f>SUM(G243)</f>
        <v>0</v>
      </c>
      <c r="N243" s="172">
        <f>SUM(H243)</f>
        <v>600</v>
      </c>
      <c r="O243" s="178">
        <f t="shared" si="54"/>
        <v>600</v>
      </c>
      <c r="P243" s="92">
        <f t="shared" si="55"/>
        <v>0</v>
      </c>
    </row>
    <row r="244" spans="1:16" ht="18.75" x14ac:dyDescent="0.2">
      <c r="A244" s="49"/>
      <c r="B244" s="190" t="s">
        <v>140</v>
      </c>
      <c r="C244" s="191" t="s">
        <v>242</v>
      </c>
      <c r="D244" s="192" t="s">
        <v>26</v>
      </c>
      <c r="E244" s="193"/>
      <c r="F244" s="194">
        <f t="shared" ref="F244:N246" si="61">F245</f>
        <v>11222.4</v>
      </c>
      <c r="G244" s="194">
        <f t="shared" si="61"/>
        <v>0</v>
      </c>
      <c r="H244" s="194">
        <f t="shared" si="61"/>
        <v>11222.4</v>
      </c>
      <c r="I244" s="195">
        <f t="shared" si="61"/>
        <v>148194</v>
      </c>
      <c r="J244" s="194">
        <f>J245</f>
        <v>0</v>
      </c>
      <c r="K244" s="195">
        <f t="shared" si="61"/>
        <v>148194</v>
      </c>
      <c r="L244" s="194">
        <f t="shared" si="61"/>
        <v>159416.4</v>
      </c>
      <c r="M244" s="194">
        <f t="shared" si="61"/>
        <v>0</v>
      </c>
      <c r="N244" s="194">
        <f t="shared" si="61"/>
        <v>159416.4</v>
      </c>
      <c r="O244" s="178">
        <f t="shared" si="54"/>
        <v>159416.4</v>
      </c>
      <c r="P244" s="92">
        <f t="shared" si="55"/>
        <v>0</v>
      </c>
    </row>
    <row r="245" spans="1:16" ht="31.5" x14ac:dyDescent="0.2">
      <c r="A245" s="42"/>
      <c r="B245" s="168" t="s">
        <v>243</v>
      </c>
      <c r="C245" s="169" t="s">
        <v>244</v>
      </c>
      <c r="D245" s="170" t="s">
        <v>26</v>
      </c>
      <c r="E245" s="171"/>
      <c r="F245" s="172">
        <f>F246+F248</f>
        <v>11222.4</v>
      </c>
      <c r="G245" s="172">
        <f>G246+G248</f>
        <v>0</v>
      </c>
      <c r="H245" s="172">
        <f>H246+H248</f>
        <v>11222.4</v>
      </c>
      <c r="I245" s="188">
        <f t="shared" si="61"/>
        <v>148194</v>
      </c>
      <c r="J245" s="189"/>
      <c r="K245" s="188">
        <f t="shared" si="61"/>
        <v>148194</v>
      </c>
      <c r="L245" s="172">
        <f>L246+L248</f>
        <v>159416.4</v>
      </c>
      <c r="M245" s="172">
        <f>M246+M248</f>
        <v>0</v>
      </c>
      <c r="N245" s="172">
        <f>N246+N248</f>
        <v>159416.4</v>
      </c>
      <c r="O245" s="178">
        <f t="shared" si="54"/>
        <v>159416.4</v>
      </c>
      <c r="P245" s="92">
        <f t="shared" si="55"/>
        <v>0</v>
      </c>
    </row>
    <row r="246" spans="1:16" ht="97.15" customHeight="1" x14ac:dyDescent="0.2">
      <c r="A246" s="42"/>
      <c r="B246" s="168" t="s">
        <v>478</v>
      </c>
      <c r="C246" s="169" t="s">
        <v>246</v>
      </c>
      <c r="D246" s="170" t="s">
        <v>26</v>
      </c>
      <c r="E246" s="171"/>
      <c r="F246" s="172">
        <f t="shared" si="61"/>
        <v>7799.8</v>
      </c>
      <c r="G246" s="172">
        <f t="shared" si="61"/>
        <v>0</v>
      </c>
      <c r="H246" s="172">
        <f t="shared" si="61"/>
        <v>7799.8</v>
      </c>
      <c r="I246" s="188">
        <f t="shared" si="61"/>
        <v>148194</v>
      </c>
      <c r="J246" s="189"/>
      <c r="K246" s="188">
        <f t="shared" si="61"/>
        <v>148194</v>
      </c>
      <c r="L246" s="172">
        <f t="shared" si="61"/>
        <v>155993.79999999999</v>
      </c>
      <c r="M246" s="172">
        <f t="shared" si="61"/>
        <v>0</v>
      </c>
      <c r="N246" s="172">
        <f t="shared" si="61"/>
        <v>155993.79999999999</v>
      </c>
      <c r="O246" s="178">
        <f t="shared" si="54"/>
        <v>155993.79999999999</v>
      </c>
      <c r="P246" s="92">
        <f t="shared" si="55"/>
        <v>0</v>
      </c>
    </row>
    <row r="247" spans="1:16" ht="31.5" x14ac:dyDescent="0.2">
      <c r="A247" s="42"/>
      <c r="B247" s="168" t="s">
        <v>131</v>
      </c>
      <c r="C247" s="169" t="s">
        <v>246</v>
      </c>
      <c r="D247" s="170" t="s">
        <v>132</v>
      </c>
      <c r="E247" s="171"/>
      <c r="F247" s="172">
        <v>7799.8</v>
      </c>
      <c r="G247" s="172"/>
      <c r="H247" s="172">
        <f>SUM(F247)</f>
        <v>7799.8</v>
      </c>
      <c r="I247" s="188">
        <v>148194</v>
      </c>
      <c r="J247" s="189"/>
      <c r="K247" s="188">
        <f>SUM(I247)</f>
        <v>148194</v>
      </c>
      <c r="L247" s="172">
        <f>SUM(F247+I247)</f>
        <v>155993.79999999999</v>
      </c>
      <c r="M247" s="172">
        <f>SUM(G247)+J247</f>
        <v>0</v>
      </c>
      <c r="N247" s="172">
        <f>SUM(H247+K247)</f>
        <v>155993.79999999999</v>
      </c>
      <c r="O247" s="178">
        <f t="shared" si="54"/>
        <v>155993.79999999999</v>
      </c>
      <c r="P247" s="92">
        <f t="shared" si="55"/>
        <v>0</v>
      </c>
    </row>
    <row r="248" spans="1:16" ht="78.75" x14ac:dyDescent="0.2">
      <c r="A248" s="42"/>
      <c r="B248" s="198" t="s">
        <v>479</v>
      </c>
      <c r="C248" s="169" t="s">
        <v>461</v>
      </c>
      <c r="D248" s="170"/>
      <c r="E248" s="171"/>
      <c r="F248" s="172">
        <v>3422.6</v>
      </c>
      <c r="G248" s="172">
        <f>G249</f>
        <v>0</v>
      </c>
      <c r="H248" s="172">
        <f>SUM(F248:G248)</f>
        <v>3422.6</v>
      </c>
      <c r="I248" s="188"/>
      <c r="J248" s="189"/>
      <c r="K248" s="188"/>
      <c r="L248" s="172">
        <f>L249</f>
        <v>3422.6</v>
      </c>
      <c r="M248" s="172">
        <f>M249</f>
        <v>0</v>
      </c>
      <c r="N248" s="172">
        <f>N249</f>
        <v>3422.6</v>
      </c>
      <c r="O248" s="178">
        <f t="shared" si="54"/>
        <v>3422.6</v>
      </c>
      <c r="P248" s="92">
        <f t="shared" si="55"/>
        <v>0</v>
      </c>
    </row>
    <row r="249" spans="1:16" ht="31.5" x14ac:dyDescent="0.2">
      <c r="A249" s="42"/>
      <c r="B249" s="168" t="s">
        <v>131</v>
      </c>
      <c r="C249" s="169" t="s">
        <v>461</v>
      </c>
      <c r="D249" s="170" t="s">
        <v>132</v>
      </c>
      <c r="E249" s="171"/>
      <c r="F249" s="172">
        <v>3422.6</v>
      </c>
      <c r="G249" s="172"/>
      <c r="H249" s="172">
        <f>SUM(F249:G249)</f>
        <v>3422.6</v>
      </c>
      <c r="I249" s="188"/>
      <c r="J249" s="189"/>
      <c r="K249" s="188"/>
      <c r="L249" s="172">
        <f>SUM(F249)</f>
        <v>3422.6</v>
      </c>
      <c r="M249" s="172">
        <f>SUM(G249)</f>
        <v>0</v>
      </c>
      <c r="N249" s="172">
        <f>SUM(L249:M249)</f>
        <v>3422.6</v>
      </c>
      <c r="O249" s="178">
        <f t="shared" si="54"/>
        <v>3422.6</v>
      </c>
      <c r="P249" s="92">
        <f t="shared" si="55"/>
        <v>0</v>
      </c>
    </row>
    <row r="250" spans="1:16" ht="31.5" x14ac:dyDescent="0.2">
      <c r="A250" s="19" t="s">
        <v>247</v>
      </c>
      <c r="B250" s="182" t="s">
        <v>248</v>
      </c>
      <c r="C250" s="183" t="s">
        <v>249</v>
      </c>
      <c r="D250" s="184" t="s">
        <v>26</v>
      </c>
      <c r="E250" s="185"/>
      <c r="F250" s="186">
        <f t="shared" ref="F250:N250" si="62">F251+F255</f>
        <v>5761.9</v>
      </c>
      <c r="G250" s="186">
        <f t="shared" si="62"/>
        <v>0</v>
      </c>
      <c r="H250" s="186">
        <f t="shared" si="62"/>
        <v>5761.9</v>
      </c>
      <c r="I250" s="187">
        <f t="shared" si="62"/>
        <v>0</v>
      </c>
      <c r="J250" s="186">
        <f t="shared" si="62"/>
        <v>0</v>
      </c>
      <c r="K250" s="187">
        <f t="shared" si="62"/>
        <v>0</v>
      </c>
      <c r="L250" s="186">
        <f t="shared" si="62"/>
        <v>5761.9</v>
      </c>
      <c r="M250" s="186">
        <f t="shared" si="62"/>
        <v>0</v>
      </c>
      <c r="N250" s="186">
        <f t="shared" si="62"/>
        <v>5761.9</v>
      </c>
      <c r="O250" s="178">
        <f t="shared" si="54"/>
        <v>5761.9</v>
      </c>
      <c r="P250" s="92">
        <f t="shared" si="55"/>
        <v>0</v>
      </c>
    </row>
    <row r="251" spans="1:16" ht="18.75" x14ac:dyDescent="0.2">
      <c r="A251" s="49"/>
      <c r="B251" s="190" t="s">
        <v>250</v>
      </c>
      <c r="C251" s="191" t="s">
        <v>251</v>
      </c>
      <c r="D251" s="192" t="s">
        <v>26</v>
      </c>
      <c r="E251" s="193"/>
      <c r="F251" s="194">
        <f t="shared" ref="F251:N253" si="63">F252</f>
        <v>3500</v>
      </c>
      <c r="G251" s="194">
        <f t="shared" si="63"/>
        <v>0</v>
      </c>
      <c r="H251" s="194">
        <f t="shared" si="63"/>
        <v>3500</v>
      </c>
      <c r="I251" s="195">
        <f t="shared" si="63"/>
        <v>0</v>
      </c>
      <c r="J251" s="194">
        <f>J252</f>
        <v>0</v>
      </c>
      <c r="K251" s="195">
        <f t="shared" si="63"/>
        <v>0</v>
      </c>
      <c r="L251" s="194">
        <f t="shared" si="63"/>
        <v>3500</v>
      </c>
      <c r="M251" s="194">
        <f t="shared" si="63"/>
        <v>0</v>
      </c>
      <c r="N251" s="194">
        <f t="shared" si="63"/>
        <v>3500</v>
      </c>
      <c r="O251" s="178">
        <f t="shared" si="54"/>
        <v>3500</v>
      </c>
      <c r="P251" s="92">
        <f t="shared" si="55"/>
        <v>0</v>
      </c>
    </row>
    <row r="252" spans="1:16" ht="31.5" x14ac:dyDescent="0.2">
      <c r="A252" s="42"/>
      <c r="B252" s="168" t="s">
        <v>252</v>
      </c>
      <c r="C252" s="169" t="s">
        <v>253</v>
      </c>
      <c r="D252" s="170" t="s">
        <v>26</v>
      </c>
      <c r="E252" s="171"/>
      <c r="F252" s="172">
        <f t="shared" si="63"/>
        <v>3500</v>
      </c>
      <c r="G252" s="172">
        <f t="shared" si="63"/>
        <v>0</v>
      </c>
      <c r="H252" s="172">
        <f t="shared" si="63"/>
        <v>3500</v>
      </c>
      <c r="I252" s="188">
        <f t="shared" si="63"/>
        <v>0</v>
      </c>
      <c r="J252" s="189"/>
      <c r="K252" s="188">
        <f t="shared" si="63"/>
        <v>0</v>
      </c>
      <c r="L252" s="172">
        <f t="shared" si="63"/>
        <v>3500</v>
      </c>
      <c r="M252" s="172">
        <f t="shared" si="63"/>
        <v>0</v>
      </c>
      <c r="N252" s="172">
        <f t="shared" si="63"/>
        <v>3500</v>
      </c>
      <c r="O252" s="178">
        <f t="shared" si="54"/>
        <v>3500</v>
      </c>
      <c r="P252" s="92">
        <f t="shared" si="55"/>
        <v>0</v>
      </c>
    </row>
    <row r="253" spans="1:16" ht="31.5" x14ac:dyDescent="0.2">
      <c r="A253" s="42"/>
      <c r="B253" s="168" t="s">
        <v>254</v>
      </c>
      <c r="C253" s="169" t="s">
        <v>255</v>
      </c>
      <c r="D253" s="170" t="s">
        <v>26</v>
      </c>
      <c r="E253" s="171"/>
      <c r="F253" s="172">
        <f t="shared" si="63"/>
        <v>3500</v>
      </c>
      <c r="G253" s="172">
        <f t="shared" si="63"/>
        <v>0</v>
      </c>
      <c r="H253" s="172">
        <f t="shared" si="63"/>
        <v>3500</v>
      </c>
      <c r="I253" s="188">
        <f t="shared" si="63"/>
        <v>0</v>
      </c>
      <c r="J253" s="189"/>
      <c r="K253" s="188">
        <f t="shared" si="63"/>
        <v>0</v>
      </c>
      <c r="L253" s="172">
        <f t="shared" si="63"/>
        <v>3500</v>
      </c>
      <c r="M253" s="172">
        <f t="shared" si="63"/>
        <v>0</v>
      </c>
      <c r="N253" s="172">
        <f t="shared" si="63"/>
        <v>3500</v>
      </c>
      <c r="O253" s="178">
        <f t="shared" si="54"/>
        <v>3500</v>
      </c>
      <c r="P253" s="92">
        <f t="shared" si="55"/>
        <v>0</v>
      </c>
    </row>
    <row r="254" spans="1:16" ht="31.5" x14ac:dyDescent="0.2">
      <c r="A254" s="42"/>
      <c r="B254" s="168" t="s">
        <v>35</v>
      </c>
      <c r="C254" s="169" t="s">
        <v>255</v>
      </c>
      <c r="D254" s="170" t="s">
        <v>36</v>
      </c>
      <c r="E254" s="171"/>
      <c r="F254" s="172">
        <v>3500</v>
      </c>
      <c r="G254" s="172"/>
      <c r="H254" s="172">
        <v>3500</v>
      </c>
      <c r="I254" s="188">
        <v>0</v>
      </c>
      <c r="J254" s="189"/>
      <c r="K254" s="188">
        <v>0</v>
      </c>
      <c r="L254" s="172">
        <v>3500</v>
      </c>
      <c r="M254" s="172"/>
      <c r="N254" s="172">
        <v>3500</v>
      </c>
      <c r="O254" s="178">
        <f t="shared" si="54"/>
        <v>3500</v>
      </c>
      <c r="P254" s="92">
        <f t="shared" si="55"/>
        <v>0</v>
      </c>
    </row>
    <row r="255" spans="1:16" ht="18.75" x14ac:dyDescent="0.2">
      <c r="A255" s="49"/>
      <c r="B255" s="190" t="s">
        <v>256</v>
      </c>
      <c r="C255" s="191" t="s">
        <v>257</v>
      </c>
      <c r="D255" s="192" t="s">
        <v>26</v>
      </c>
      <c r="E255" s="193"/>
      <c r="F255" s="194">
        <f t="shared" ref="F255:N257" si="64">F256</f>
        <v>2261.9</v>
      </c>
      <c r="G255" s="194">
        <f t="shared" si="64"/>
        <v>0</v>
      </c>
      <c r="H255" s="194">
        <f t="shared" si="64"/>
        <v>2261.9</v>
      </c>
      <c r="I255" s="195">
        <f t="shared" si="64"/>
        <v>0</v>
      </c>
      <c r="J255" s="194">
        <f>J256</f>
        <v>0</v>
      </c>
      <c r="K255" s="195">
        <f t="shared" si="64"/>
        <v>0</v>
      </c>
      <c r="L255" s="194">
        <f t="shared" si="64"/>
        <v>2261.9</v>
      </c>
      <c r="M255" s="194">
        <f t="shared" si="64"/>
        <v>0</v>
      </c>
      <c r="N255" s="194">
        <f t="shared" si="64"/>
        <v>2261.9</v>
      </c>
      <c r="O255" s="178">
        <f t="shared" si="54"/>
        <v>2261.9</v>
      </c>
      <c r="P255" s="92">
        <f t="shared" si="55"/>
        <v>0</v>
      </c>
    </row>
    <row r="256" spans="1:16" ht="31.5" x14ac:dyDescent="0.2">
      <c r="A256" s="42"/>
      <c r="B256" s="168" t="s">
        <v>258</v>
      </c>
      <c r="C256" s="169" t="s">
        <v>259</v>
      </c>
      <c r="D256" s="170" t="s">
        <v>26</v>
      </c>
      <c r="E256" s="171"/>
      <c r="F256" s="172">
        <f t="shared" si="64"/>
        <v>2261.9</v>
      </c>
      <c r="G256" s="172">
        <f t="shared" si="64"/>
        <v>0</v>
      </c>
      <c r="H256" s="172">
        <f t="shared" si="64"/>
        <v>2261.9</v>
      </c>
      <c r="I256" s="188">
        <f t="shared" si="64"/>
        <v>0</v>
      </c>
      <c r="J256" s="189"/>
      <c r="K256" s="188">
        <f t="shared" si="64"/>
        <v>0</v>
      </c>
      <c r="L256" s="172">
        <f t="shared" si="64"/>
        <v>2261.9</v>
      </c>
      <c r="M256" s="172">
        <f t="shared" si="64"/>
        <v>0</v>
      </c>
      <c r="N256" s="172">
        <f t="shared" si="64"/>
        <v>2261.9</v>
      </c>
      <c r="O256" s="178">
        <f t="shared" si="54"/>
        <v>2261.9</v>
      </c>
      <c r="P256" s="92">
        <f t="shared" si="55"/>
        <v>0</v>
      </c>
    </row>
    <row r="257" spans="1:18" ht="31.5" x14ac:dyDescent="0.2">
      <c r="A257" s="42"/>
      <c r="B257" s="168" t="s">
        <v>254</v>
      </c>
      <c r="C257" s="169" t="s">
        <v>260</v>
      </c>
      <c r="D257" s="170" t="s">
        <v>26</v>
      </c>
      <c r="E257" s="171"/>
      <c r="F257" s="172">
        <f t="shared" si="64"/>
        <v>2261.9</v>
      </c>
      <c r="G257" s="172">
        <f t="shared" si="64"/>
        <v>0</v>
      </c>
      <c r="H257" s="172">
        <f t="shared" si="64"/>
        <v>2261.9</v>
      </c>
      <c r="I257" s="188">
        <f t="shared" si="64"/>
        <v>0</v>
      </c>
      <c r="J257" s="189"/>
      <c r="K257" s="188">
        <f t="shared" si="64"/>
        <v>0</v>
      </c>
      <c r="L257" s="172">
        <f t="shared" si="64"/>
        <v>2261.9</v>
      </c>
      <c r="M257" s="172">
        <f t="shared" si="64"/>
        <v>0</v>
      </c>
      <c r="N257" s="172">
        <f t="shared" si="64"/>
        <v>2261.9</v>
      </c>
      <c r="O257" s="178">
        <f t="shared" si="54"/>
        <v>2261.9</v>
      </c>
      <c r="P257" s="92">
        <f t="shared" si="55"/>
        <v>0</v>
      </c>
    </row>
    <row r="258" spans="1:18" ht="63" x14ac:dyDescent="0.2">
      <c r="A258" s="42"/>
      <c r="B258" s="168" t="s">
        <v>261</v>
      </c>
      <c r="C258" s="169" t="s">
        <v>260</v>
      </c>
      <c r="D258" s="170" t="s">
        <v>36</v>
      </c>
      <c r="E258" s="171"/>
      <c r="F258" s="172">
        <v>2261.9</v>
      </c>
      <c r="G258" s="172"/>
      <c r="H258" s="172">
        <f>SUM(F258)+G258</f>
        <v>2261.9</v>
      </c>
      <c r="I258" s="188">
        <v>0</v>
      </c>
      <c r="J258" s="189"/>
      <c r="K258" s="188">
        <v>0</v>
      </c>
      <c r="L258" s="172">
        <f>SUM(F258)</f>
        <v>2261.9</v>
      </c>
      <c r="M258" s="172">
        <f>SUM(G258)</f>
        <v>0</v>
      </c>
      <c r="N258" s="172">
        <f>SUM(H258)</f>
        <v>2261.9</v>
      </c>
      <c r="O258" s="178">
        <f t="shared" si="54"/>
        <v>2261.9</v>
      </c>
      <c r="P258" s="92">
        <f t="shared" si="55"/>
        <v>0</v>
      </c>
    </row>
    <row r="259" spans="1:18" ht="31.5" x14ac:dyDescent="0.2">
      <c r="A259" s="19" t="s">
        <v>262</v>
      </c>
      <c r="B259" s="182" t="s">
        <v>263</v>
      </c>
      <c r="C259" s="183" t="s">
        <v>264</v>
      </c>
      <c r="D259" s="184" t="s">
        <v>26</v>
      </c>
      <c r="E259" s="185"/>
      <c r="F259" s="186">
        <f t="shared" ref="F259:N259" si="65">F260+F282+F286+F292+F296</f>
        <v>47921.8</v>
      </c>
      <c r="G259" s="186">
        <f>G260+G282+G286+G292+G296</f>
        <v>0</v>
      </c>
      <c r="H259" s="186">
        <f t="shared" si="65"/>
        <v>47921.8</v>
      </c>
      <c r="I259" s="187">
        <f t="shared" si="65"/>
        <v>0</v>
      </c>
      <c r="J259" s="186">
        <f t="shared" si="65"/>
        <v>0</v>
      </c>
      <c r="K259" s="187">
        <f t="shared" si="65"/>
        <v>0</v>
      </c>
      <c r="L259" s="186">
        <f t="shared" si="65"/>
        <v>47921.8</v>
      </c>
      <c r="M259" s="186">
        <f>M260+M282+M286+M292+M296</f>
        <v>0</v>
      </c>
      <c r="N259" s="271">
        <f t="shared" si="65"/>
        <v>47921.8</v>
      </c>
      <c r="O259" s="178">
        <f t="shared" si="54"/>
        <v>47921.8</v>
      </c>
      <c r="P259" s="92">
        <f t="shared" si="55"/>
        <v>0</v>
      </c>
      <c r="Q259" s="25">
        <v>47921.9</v>
      </c>
      <c r="R259" s="280">
        <f>Q259-N259</f>
        <v>9.9999999998544808E-2</v>
      </c>
    </row>
    <row r="260" spans="1:18" ht="49.9" customHeight="1" x14ac:dyDescent="0.2">
      <c r="A260" s="49"/>
      <c r="B260" s="190" t="s">
        <v>265</v>
      </c>
      <c r="C260" s="191" t="s">
        <v>266</v>
      </c>
      <c r="D260" s="192" t="s">
        <v>26</v>
      </c>
      <c r="E260" s="193"/>
      <c r="F260" s="194">
        <f t="shared" ref="F260:N260" si="66">F261+F272+F275</f>
        <v>36647.800000000003</v>
      </c>
      <c r="G260" s="194">
        <f>G261+G272+G275</f>
        <v>0</v>
      </c>
      <c r="H260" s="194">
        <f t="shared" si="66"/>
        <v>36647.800000000003</v>
      </c>
      <c r="I260" s="195">
        <f t="shared" si="66"/>
        <v>0</v>
      </c>
      <c r="J260" s="194">
        <f t="shared" si="66"/>
        <v>0</v>
      </c>
      <c r="K260" s="195">
        <f t="shared" si="66"/>
        <v>0</v>
      </c>
      <c r="L260" s="194">
        <f t="shared" si="66"/>
        <v>36647.800000000003</v>
      </c>
      <c r="M260" s="194">
        <f t="shared" si="66"/>
        <v>0</v>
      </c>
      <c r="N260" s="275">
        <f t="shared" si="66"/>
        <v>36647.800000000003</v>
      </c>
      <c r="O260" s="178">
        <f t="shared" si="54"/>
        <v>36647.800000000003</v>
      </c>
      <c r="P260" s="92">
        <f t="shared" si="55"/>
        <v>0</v>
      </c>
      <c r="Q260" s="55"/>
    </row>
    <row r="261" spans="1:18" ht="50.45" customHeight="1" x14ac:dyDescent="0.2">
      <c r="A261" s="42"/>
      <c r="B261" s="168" t="s">
        <v>267</v>
      </c>
      <c r="C261" s="169" t="s">
        <v>268</v>
      </c>
      <c r="D261" s="170" t="s">
        <v>26</v>
      </c>
      <c r="E261" s="171"/>
      <c r="F261" s="172">
        <f>F262+F266+F270+F268</f>
        <v>19721</v>
      </c>
      <c r="G261" s="172">
        <f>G262+G266+G270+G268</f>
        <v>0</v>
      </c>
      <c r="H261" s="172">
        <f>H262+H266+H270+H268</f>
        <v>19721</v>
      </c>
      <c r="I261" s="188">
        <f>I262+I266+I270</f>
        <v>0</v>
      </c>
      <c r="J261" s="189"/>
      <c r="K261" s="188">
        <f>K262+K266+K270</f>
        <v>0</v>
      </c>
      <c r="L261" s="172">
        <f>L262+L266+L270+L268</f>
        <v>19721</v>
      </c>
      <c r="M261" s="172">
        <f>M262+M266+M270+M268</f>
        <v>0</v>
      </c>
      <c r="N261" s="172">
        <f>N262+N266+N270+N268</f>
        <v>19721</v>
      </c>
      <c r="O261" s="178">
        <f t="shared" si="54"/>
        <v>19721</v>
      </c>
      <c r="P261" s="92">
        <f t="shared" si="55"/>
        <v>0</v>
      </c>
      <c r="Q261" s="48"/>
    </row>
    <row r="262" spans="1:18" ht="31.5" x14ac:dyDescent="0.2">
      <c r="A262" s="42"/>
      <c r="B262" s="168" t="s">
        <v>39</v>
      </c>
      <c r="C262" s="169" t="s">
        <v>269</v>
      </c>
      <c r="D262" s="170" t="s">
        <v>26</v>
      </c>
      <c r="E262" s="171"/>
      <c r="F262" s="172">
        <f>F263+F264+F265</f>
        <v>11968.5</v>
      </c>
      <c r="G262" s="172">
        <f>SUM(G264)+G263</f>
        <v>0</v>
      </c>
      <c r="H262" s="172">
        <f>H263+H264+H265</f>
        <v>11968.5</v>
      </c>
      <c r="I262" s="188">
        <f>I263+I264+I265</f>
        <v>0</v>
      </c>
      <c r="J262" s="189"/>
      <c r="K262" s="188">
        <f>K263+K264+K265</f>
        <v>0</v>
      </c>
      <c r="L262" s="172">
        <f>L263+L264+L265</f>
        <v>11968.5</v>
      </c>
      <c r="M262" s="172">
        <f>SUM(G262)</f>
        <v>0</v>
      </c>
      <c r="N262" s="172">
        <f>N263+N264+N265</f>
        <v>11968.5</v>
      </c>
      <c r="O262" s="178">
        <f t="shared" si="54"/>
        <v>11968.5</v>
      </c>
      <c r="P262" s="92">
        <f t="shared" si="55"/>
        <v>0</v>
      </c>
    </row>
    <row r="263" spans="1:18" ht="64.900000000000006" customHeight="1" x14ac:dyDescent="0.2">
      <c r="A263" s="42"/>
      <c r="B263" s="168" t="s">
        <v>31</v>
      </c>
      <c r="C263" s="169" t="s">
        <v>269</v>
      </c>
      <c r="D263" s="170" t="s">
        <v>32</v>
      </c>
      <c r="E263" s="171"/>
      <c r="F263" s="172">
        <v>10420.200000000001</v>
      </c>
      <c r="G263" s="172"/>
      <c r="H263" s="172">
        <f>SUM(F263)</f>
        <v>10420.200000000001</v>
      </c>
      <c r="I263" s="188">
        <v>0</v>
      </c>
      <c r="J263" s="189"/>
      <c r="K263" s="188">
        <v>0</v>
      </c>
      <c r="L263" s="172">
        <f t="shared" ref="L263:N264" si="67">SUM(F263)</f>
        <v>10420.200000000001</v>
      </c>
      <c r="M263" s="172">
        <f t="shared" si="67"/>
        <v>0</v>
      </c>
      <c r="N263" s="172">
        <f t="shared" si="67"/>
        <v>10420.200000000001</v>
      </c>
      <c r="O263" s="178">
        <f t="shared" si="54"/>
        <v>10420.200000000001</v>
      </c>
      <c r="P263" s="92">
        <f t="shared" si="55"/>
        <v>0</v>
      </c>
    </row>
    <row r="264" spans="1:18" ht="31.5" x14ac:dyDescent="0.2">
      <c r="A264" s="42"/>
      <c r="B264" s="168" t="s">
        <v>35</v>
      </c>
      <c r="C264" s="169" t="s">
        <v>269</v>
      </c>
      <c r="D264" s="170" t="s">
        <v>36</v>
      </c>
      <c r="E264" s="171"/>
      <c r="F264" s="172">
        <v>1525.3</v>
      </c>
      <c r="G264" s="172"/>
      <c r="H264" s="172">
        <v>1525.3</v>
      </c>
      <c r="I264" s="188">
        <v>0</v>
      </c>
      <c r="J264" s="189"/>
      <c r="K264" s="188">
        <v>0</v>
      </c>
      <c r="L264" s="172">
        <f t="shared" si="67"/>
        <v>1525.3</v>
      </c>
      <c r="M264" s="172">
        <f t="shared" si="67"/>
        <v>0</v>
      </c>
      <c r="N264" s="172">
        <f t="shared" si="67"/>
        <v>1525.3</v>
      </c>
      <c r="O264" s="178">
        <f t="shared" si="54"/>
        <v>1525.3</v>
      </c>
      <c r="P264" s="92">
        <f t="shared" si="55"/>
        <v>0</v>
      </c>
    </row>
    <row r="265" spans="1:18" ht="18.75" x14ac:dyDescent="0.2">
      <c r="A265" s="42"/>
      <c r="B265" s="168" t="s">
        <v>41</v>
      </c>
      <c r="C265" s="169" t="s">
        <v>269</v>
      </c>
      <c r="D265" s="170" t="s">
        <v>42</v>
      </c>
      <c r="E265" s="171"/>
      <c r="F265" s="172">
        <v>23</v>
      </c>
      <c r="G265" s="172"/>
      <c r="H265" s="172">
        <v>23</v>
      </c>
      <c r="I265" s="188">
        <v>0</v>
      </c>
      <c r="J265" s="189"/>
      <c r="K265" s="188">
        <v>0</v>
      </c>
      <c r="L265" s="172">
        <v>23</v>
      </c>
      <c r="M265" s="172"/>
      <c r="N265" s="172">
        <v>23</v>
      </c>
      <c r="O265" s="178">
        <f t="shared" si="54"/>
        <v>23</v>
      </c>
      <c r="P265" s="92">
        <f t="shared" si="55"/>
        <v>0</v>
      </c>
    </row>
    <row r="266" spans="1:18" ht="48.6" customHeight="1" x14ac:dyDescent="0.2">
      <c r="A266" s="42"/>
      <c r="B266" s="168" t="s">
        <v>270</v>
      </c>
      <c r="C266" s="169" t="s">
        <v>271</v>
      </c>
      <c r="D266" s="170" t="s">
        <v>26</v>
      </c>
      <c r="E266" s="171"/>
      <c r="F266" s="172">
        <f>F267</f>
        <v>5667.6</v>
      </c>
      <c r="G266" s="172">
        <f>G267</f>
        <v>0</v>
      </c>
      <c r="H266" s="172">
        <f>H267</f>
        <v>5667.6</v>
      </c>
      <c r="I266" s="188">
        <f>I267</f>
        <v>0</v>
      </c>
      <c r="J266" s="189"/>
      <c r="K266" s="188">
        <f>K267</f>
        <v>0</v>
      </c>
      <c r="L266" s="172">
        <f>L267</f>
        <v>5667.6</v>
      </c>
      <c r="M266" s="172">
        <f>M267</f>
        <v>0</v>
      </c>
      <c r="N266" s="172">
        <f>N267</f>
        <v>5667.6</v>
      </c>
      <c r="O266" s="178">
        <f t="shared" si="54"/>
        <v>5667.6</v>
      </c>
      <c r="P266" s="92">
        <f t="shared" si="55"/>
        <v>0</v>
      </c>
    </row>
    <row r="267" spans="1:18" ht="31.5" x14ac:dyDescent="0.2">
      <c r="A267" s="42"/>
      <c r="B267" s="168" t="s">
        <v>35</v>
      </c>
      <c r="C267" s="169" t="s">
        <v>271</v>
      </c>
      <c r="D267" s="170" t="s">
        <v>36</v>
      </c>
      <c r="E267" s="171"/>
      <c r="F267" s="172">
        <v>5667.6</v>
      </c>
      <c r="G267" s="172"/>
      <c r="H267" s="172">
        <f>SUM(F267)+G267</f>
        <v>5667.6</v>
      </c>
      <c r="I267" s="188">
        <v>0</v>
      </c>
      <c r="J267" s="189"/>
      <c r="K267" s="188">
        <v>0</v>
      </c>
      <c r="L267" s="172">
        <f t="shared" ref="L267:N269" si="68">SUM(F267)</f>
        <v>5667.6</v>
      </c>
      <c r="M267" s="172">
        <f t="shared" si="68"/>
        <v>0</v>
      </c>
      <c r="N267" s="172">
        <f t="shared" si="68"/>
        <v>5667.6</v>
      </c>
      <c r="O267" s="178">
        <f t="shared" si="54"/>
        <v>5667.6</v>
      </c>
      <c r="P267" s="92">
        <f t="shared" si="55"/>
        <v>0</v>
      </c>
    </row>
    <row r="268" spans="1:18" ht="28.5" customHeight="1" x14ac:dyDescent="0.2">
      <c r="A268" s="42"/>
      <c r="B268" s="213" t="s">
        <v>456</v>
      </c>
      <c r="C268" s="169" t="s">
        <v>455</v>
      </c>
      <c r="D268" s="170"/>
      <c r="E268" s="171"/>
      <c r="F268" s="172">
        <v>1084.9000000000001</v>
      </c>
      <c r="G268" s="172">
        <f>G269</f>
        <v>0</v>
      </c>
      <c r="H268" s="172">
        <f>F268+G268</f>
        <v>1084.9000000000001</v>
      </c>
      <c r="I268" s="188"/>
      <c r="J268" s="189"/>
      <c r="K268" s="188"/>
      <c r="L268" s="172">
        <f t="shared" si="68"/>
        <v>1084.9000000000001</v>
      </c>
      <c r="M268" s="172">
        <f t="shared" si="68"/>
        <v>0</v>
      </c>
      <c r="N268" s="172">
        <f t="shared" si="68"/>
        <v>1084.9000000000001</v>
      </c>
      <c r="O268" s="178">
        <f t="shared" si="54"/>
        <v>1084.9000000000001</v>
      </c>
      <c r="P268" s="92">
        <f t="shared" si="55"/>
        <v>0</v>
      </c>
    </row>
    <row r="269" spans="1:18" ht="31.5" x14ac:dyDescent="0.2">
      <c r="A269" s="42"/>
      <c r="B269" s="168" t="s">
        <v>35</v>
      </c>
      <c r="C269" s="169" t="s">
        <v>455</v>
      </c>
      <c r="D269" s="170" t="s">
        <v>36</v>
      </c>
      <c r="E269" s="171"/>
      <c r="F269" s="172">
        <v>1084.9000000000001</v>
      </c>
      <c r="G269" s="172"/>
      <c r="H269" s="172">
        <f>F269+G269</f>
        <v>1084.9000000000001</v>
      </c>
      <c r="I269" s="188"/>
      <c r="J269" s="189"/>
      <c r="K269" s="188"/>
      <c r="L269" s="172">
        <f t="shared" si="68"/>
        <v>1084.9000000000001</v>
      </c>
      <c r="M269" s="172">
        <f t="shared" si="68"/>
        <v>0</v>
      </c>
      <c r="N269" s="172">
        <f t="shared" si="68"/>
        <v>1084.9000000000001</v>
      </c>
      <c r="O269" s="178">
        <f t="shared" si="54"/>
        <v>1084.9000000000001</v>
      </c>
      <c r="P269" s="92">
        <f t="shared" si="55"/>
        <v>0</v>
      </c>
    </row>
    <row r="270" spans="1:18" ht="47.25" x14ac:dyDescent="0.2">
      <c r="A270" s="42"/>
      <c r="B270" s="168" t="s">
        <v>272</v>
      </c>
      <c r="C270" s="169" t="s">
        <v>273</v>
      </c>
      <c r="D270" s="170" t="s">
        <v>26</v>
      </c>
      <c r="E270" s="171"/>
      <c r="F270" s="172">
        <f>F271</f>
        <v>1000</v>
      </c>
      <c r="G270" s="172">
        <f>G271</f>
        <v>0</v>
      </c>
      <c r="H270" s="172">
        <f>H271</f>
        <v>1000</v>
      </c>
      <c r="I270" s="188">
        <f>I271</f>
        <v>0</v>
      </c>
      <c r="J270" s="189"/>
      <c r="K270" s="188">
        <f>K271</f>
        <v>0</v>
      </c>
      <c r="L270" s="172">
        <f>L271</f>
        <v>1000</v>
      </c>
      <c r="M270" s="172">
        <f>M271</f>
        <v>0</v>
      </c>
      <c r="N270" s="172">
        <f>N271</f>
        <v>1000</v>
      </c>
      <c r="O270" s="178">
        <f t="shared" si="54"/>
        <v>1000</v>
      </c>
      <c r="P270" s="92">
        <f t="shared" si="55"/>
        <v>0</v>
      </c>
    </row>
    <row r="271" spans="1:18" ht="31.5" x14ac:dyDescent="0.2">
      <c r="A271" s="42"/>
      <c r="B271" s="168" t="s">
        <v>35</v>
      </c>
      <c r="C271" s="169" t="s">
        <v>273</v>
      </c>
      <c r="D271" s="170" t="s">
        <v>36</v>
      </c>
      <c r="E271" s="171"/>
      <c r="F271" s="172">
        <v>1000</v>
      </c>
      <c r="G271" s="172"/>
      <c r="H271" s="172">
        <v>1000</v>
      </c>
      <c r="I271" s="188">
        <v>0</v>
      </c>
      <c r="J271" s="189"/>
      <c r="K271" s="188">
        <v>0</v>
      </c>
      <c r="L271" s="172">
        <v>1000</v>
      </c>
      <c r="M271" s="172"/>
      <c r="N271" s="172">
        <v>1000</v>
      </c>
      <c r="O271" s="178">
        <f t="shared" si="54"/>
        <v>1000</v>
      </c>
      <c r="P271" s="92">
        <f t="shared" si="55"/>
        <v>0</v>
      </c>
    </row>
    <row r="272" spans="1:18" ht="31.5" x14ac:dyDescent="0.2">
      <c r="A272" s="42"/>
      <c r="B272" s="168" t="s">
        <v>274</v>
      </c>
      <c r="C272" s="169" t="s">
        <v>275</v>
      </c>
      <c r="D272" s="170" t="s">
        <v>26</v>
      </c>
      <c r="E272" s="171"/>
      <c r="F272" s="172">
        <f t="shared" ref="F272:N273" si="69">F273</f>
        <v>15278.4</v>
      </c>
      <c r="G272" s="172">
        <f>G273</f>
        <v>0</v>
      </c>
      <c r="H272" s="172">
        <f t="shared" si="69"/>
        <v>15278.4</v>
      </c>
      <c r="I272" s="188">
        <f t="shared" si="69"/>
        <v>0</v>
      </c>
      <c r="J272" s="189"/>
      <c r="K272" s="188">
        <f t="shared" si="69"/>
        <v>0</v>
      </c>
      <c r="L272" s="172">
        <f t="shared" si="69"/>
        <v>15278.4</v>
      </c>
      <c r="M272" s="172">
        <f t="shared" si="69"/>
        <v>0</v>
      </c>
      <c r="N272" s="172">
        <f t="shared" si="69"/>
        <v>15278.4</v>
      </c>
      <c r="O272" s="178">
        <f t="shared" si="54"/>
        <v>15278.4</v>
      </c>
      <c r="P272" s="92">
        <f t="shared" si="55"/>
        <v>0</v>
      </c>
    </row>
    <row r="273" spans="1:16" ht="78.75" x14ac:dyDescent="0.2">
      <c r="A273" s="42"/>
      <c r="B273" s="168" t="s">
        <v>276</v>
      </c>
      <c r="C273" s="169" t="s">
        <v>277</v>
      </c>
      <c r="D273" s="170" t="s">
        <v>26</v>
      </c>
      <c r="E273" s="171"/>
      <c r="F273" s="172">
        <f t="shared" si="69"/>
        <v>15278.4</v>
      </c>
      <c r="G273" s="172">
        <f t="shared" si="69"/>
        <v>0</v>
      </c>
      <c r="H273" s="172">
        <f t="shared" si="69"/>
        <v>15278.4</v>
      </c>
      <c r="I273" s="188">
        <f t="shared" si="69"/>
        <v>0</v>
      </c>
      <c r="J273" s="189"/>
      <c r="K273" s="188">
        <f t="shared" si="69"/>
        <v>0</v>
      </c>
      <c r="L273" s="172">
        <f t="shared" si="69"/>
        <v>15278.4</v>
      </c>
      <c r="M273" s="172">
        <f t="shared" si="69"/>
        <v>0</v>
      </c>
      <c r="N273" s="172">
        <f t="shared" si="69"/>
        <v>15278.4</v>
      </c>
      <c r="O273" s="178">
        <f t="shared" si="54"/>
        <v>15278.4</v>
      </c>
      <c r="P273" s="92">
        <f t="shared" si="55"/>
        <v>0</v>
      </c>
    </row>
    <row r="274" spans="1:16" ht="18.75" x14ac:dyDescent="0.2">
      <c r="A274" s="42"/>
      <c r="B274" s="168" t="s">
        <v>278</v>
      </c>
      <c r="C274" s="169" t="s">
        <v>277</v>
      </c>
      <c r="D274" s="170" t="s">
        <v>279</v>
      </c>
      <c r="E274" s="171"/>
      <c r="F274" s="172">
        <v>15278.4</v>
      </c>
      <c r="G274" s="172"/>
      <c r="H274" s="172">
        <v>15278.4</v>
      </c>
      <c r="I274" s="188">
        <v>0</v>
      </c>
      <c r="J274" s="189"/>
      <c r="K274" s="188">
        <v>0</v>
      </c>
      <c r="L274" s="172">
        <f>SUM(F274)</f>
        <v>15278.4</v>
      </c>
      <c r="M274" s="172">
        <f>SUM(G274)</f>
        <v>0</v>
      </c>
      <c r="N274" s="172">
        <f>SUM(H274)</f>
        <v>15278.4</v>
      </c>
      <c r="O274" s="178">
        <f t="shared" si="54"/>
        <v>15278.4</v>
      </c>
      <c r="P274" s="92">
        <f t="shared" si="55"/>
        <v>0</v>
      </c>
    </row>
    <row r="275" spans="1:16" ht="47.25" x14ac:dyDescent="0.2">
      <c r="A275" s="42"/>
      <c r="B275" s="168" t="s">
        <v>280</v>
      </c>
      <c r="C275" s="169" t="s">
        <v>281</v>
      </c>
      <c r="D275" s="170" t="s">
        <v>26</v>
      </c>
      <c r="E275" s="171"/>
      <c r="F275" s="172">
        <f t="shared" ref="F275:N276" si="70">F276</f>
        <v>1648.4</v>
      </c>
      <c r="G275" s="172">
        <f t="shared" si="70"/>
        <v>0</v>
      </c>
      <c r="H275" s="172">
        <f t="shared" si="70"/>
        <v>1648.4</v>
      </c>
      <c r="I275" s="188">
        <f t="shared" si="70"/>
        <v>0</v>
      </c>
      <c r="J275" s="189"/>
      <c r="K275" s="188">
        <f t="shared" si="70"/>
        <v>0</v>
      </c>
      <c r="L275" s="172">
        <f t="shared" si="70"/>
        <v>1648.4</v>
      </c>
      <c r="M275" s="172">
        <f t="shared" si="70"/>
        <v>0</v>
      </c>
      <c r="N275" s="172">
        <f t="shared" si="70"/>
        <v>1648.4</v>
      </c>
      <c r="O275" s="178">
        <f t="shared" si="54"/>
        <v>1648.4</v>
      </c>
      <c r="P275" s="92">
        <f t="shared" si="55"/>
        <v>0</v>
      </c>
    </row>
    <row r="276" spans="1:16" ht="67.900000000000006" customHeight="1" x14ac:dyDescent="0.2">
      <c r="A276" s="42"/>
      <c r="B276" s="168" t="s">
        <v>282</v>
      </c>
      <c r="C276" s="169" t="s">
        <v>283</v>
      </c>
      <c r="D276" s="170" t="s">
        <v>26</v>
      </c>
      <c r="E276" s="171"/>
      <c r="F276" s="172">
        <f t="shared" si="70"/>
        <v>1648.4</v>
      </c>
      <c r="G276" s="172">
        <f t="shared" si="70"/>
        <v>0</v>
      </c>
      <c r="H276" s="172">
        <f t="shared" si="70"/>
        <v>1648.4</v>
      </c>
      <c r="I276" s="188">
        <f t="shared" si="70"/>
        <v>0</v>
      </c>
      <c r="J276" s="189"/>
      <c r="K276" s="188">
        <f t="shared" si="70"/>
        <v>0</v>
      </c>
      <c r="L276" s="172">
        <f t="shared" si="70"/>
        <v>1648.4</v>
      </c>
      <c r="M276" s="172">
        <f t="shared" si="70"/>
        <v>0</v>
      </c>
      <c r="N276" s="172">
        <f t="shared" si="70"/>
        <v>1648.4</v>
      </c>
      <c r="O276" s="178">
        <f t="shared" si="54"/>
        <v>1648.4</v>
      </c>
      <c r="P276" s="92">
        <f t="shared" si="55"/>
        <v>0</v>
      </c>
    </row>
    <row r="277" spans="1:16" ht="18.75" x14ac:dyDescent="0.2">
      <c r="A277" s="42"/>
      <c r="B277" s="168" t="s">
        <v>278</v>
      </c>
      <c r="C277" s="169" t="s">
        <v>283</v>
      </c>
      <c r="D277" s="170" t="s">
        <v>279</v>
      </c>
      <c r="E277" s="171"/>
      <c r="F277" s="172">
        <v>1648.4</v>
      </c>
      <c r="G277" s="172"/>
      <c r="H277" s="172">
        <v>1648.4</v>
      </c>
      <c r="I277" s="188">
        <v>0</v>
      </c>
      <c r="J277" s="189"/>
      <c r="K277" s="188">
        <v>0</v>
      </c>
      <c r="L277" s="172">
        <f>SUM(F277)</f>
        <v>1648.4</v>
      </c>
      <c r="M277" s="273">
        <f>SUM(G277)</f>
        <v>0</v>
      </c>
      <c r="N277" s="172">
        <f>SUM(H277)</f>
        <v>1648.4</v>
      </c>
      <c r="O277" s="178">
        <f t="shared" si="54"/>
        <v>1648.4</v>
      </c>
      <c r="P277" s="92">
        <f t="shared" si="55"/>
        <v>0</v>
      </c>
    </row>
    <row r="278" spans="1:16" ht="0.75" customHeight="1" x14ac:dyDescent="0.2">
      <c r="A278" s="42"/>
      <c r="B278" s="168" t="s">
        <v>448</v>
      </c>
      <c r="C278" s="169" t="s">
        <v>422</v>
      </c>
      <c r="D278" s="170"/>
      <c r="E278" s="171"/>
      <c r="F278" s="172"/>
      <c r="G278" s="172"/>
      <c r="H278" s="172">
        <f>SUM(G278)</f>
        <v>0</v>
      </c>
      <c r="I278" s="188"/>
      <c r="J278" s="189"/>
      <c r="K278" s="188"/>
      <c r="L278" s="172"/>
      <c r="M278" s="172">
        <f t="shared" ref="M278:N281" si="71">SUM(G278)</f>
        <v>0</v>
      </c>
      <c r="N278" s="172">
        <f t="shared" si="71"/>
        <v>0</v>
      </c>
      <c r="O278" s="178">
        <f t="shared" si="54"/>
        <v>0</v>
      </c>
      <c r="P278" s="92">
        <f t="shared" si="55"/>
        <v>0</v>
      </c>
    </row>
    <row r="279" spans="1:16" ht="18.75" hidden="1" x14ac:dyDescent="0.2">
      <c r="A279" s="42"/>
      <c r="B279" s="168" t="s">
        <v>432</v>
      </c>
      <c r="C279" s="169" t="s">
        <v>433</v>
      </c>
      <c r="D279" s="170"/>
      <c r="E279" s="171"/>
      <c r="F279" s="172"/>
      <c r="G279" s="172"/>
      <c r="H279" s="172">
        <f>SUM(G279)</f>
        <v>0</v>
      </c>
      <c r="I279" s="188"/>
      <c r="J279" s="189"/>
      <c r="K279" s="188"/>
      <c r="L279" s="172"/>
      <c r="M279" s="172">
        <f t="shared" si="71"/>
        <v>0</v>
      </c>
      <c r="N279" s="172">
        <f t="shared" si="71"/>
        <v>0</v>
      </c>
      <c r="O279" s="178">
        <f t="shared" ref="O279:O342" si="72">L279+M279</f>
        <v>0</v>
      </c>
      <c r="P279" s="92">
        <f t="shared" ref="P279:P342" si="73">O279-N279</f>
        <v>0</v>
      </c>
    </row>
    <row r="280" spans="1:16" ht="31.5" hidden="1" x14ac:dyDescent="0.2">
      <c r="A280" s="42"/>
      <c r="B280" s="168" t="s">
        <v>434</v>
      </c>
      <c r="C280" s="169" t="s">
        <v>435</v>
      </c>
      <c r="D280" s="170"/>
      <c r="E280" s="171"/>
      <c r="F280" s="172"/>
      <c r="G280" s="172"/>
      <c r="H280" s="172">
        <f>SUM(G280)</f>
        <v>0</v>
      </c>
      <c r="I280" s="188"/>
      <c r="J280" s="189"/>
      <c r="K280" s="188"/>
      <c r="L280" s="172"/>
      <c r="M280" s="172">
        <f t="shared" si="71"/>
        <v>0</v>
      </c>
      <c r="N280" s="172">
        <f t="shared" si="71"/>
        <v>0</v>
      </c>
      <c r="O280" s="178">
        <f t="shared" si="72"/>
        <v>0</v>
      </c>
      <c r="P280" s="92">
        <f t="shared" si="73"/>
        <v>0</v>
      </c>
    </row>
    <row r="281" spans="1:16" ht="31.5" hidden="1" x14ac:dyDescent="0.2">
      <c r="A281" s="42"/>
      <c r="B281" s="168" t="s">
        <v>35</v>
      </c>
      <c r="C281" s="169" t="s">
        <v>435</v>
      </c>
      <c r="D281" s="170" t="s">
        <v>36</v>
      </c>
      <c r="E281" s="171"/>
      <c r="F281" s="172"/>
      <c r="G281" s="172"/>
      <c r="H281" s="172">
        <f>SUM(G281)</f>
        <v>0</v>
      </c>
      <c r="I281" s="188"/>
      <c r="J281" s="189"/>
      <c r="K281" s="188"/>
      <c r="L281" s="172"/>
      <c r="M281" s="172">
        <f t="shared" si="71"/>
        <v>0</v>
      </c>
      <c r="N281" s="172">
        <f t="shared" si="71"/>
        <v>0</v>
      </c>
      <c r="O281" s="178">
        <f t="shared" si="72"/>
        <v>0</v>
      </c>
      <c r="P281" s="92">
        <f t="shared" si="73"/>
        <v>0</v>
      </c>
    </row>
    <row r="282" spans="1:16" ht="18.75" x14ac:dyDescent="0.2">
      <c r="A282" s="49"/>
      <c r="B282" s="190" t="s">
        <v>284</v>
      </c>
      <c r="C282" s="191" t="s">
        <v>285</v>
      </c>
      <c r="D282" s="192" t="s">
        <v>26</v>
      </c>
      <c r="E282" s="193"/>
      <c r="F282" s="194">
        <f t="shared" ref="F282:N284" si="74">F283</f>
        <v>323.10000000000002</v>
      </c>
      <c r="G282" s="194">
        <f t="shared" si="74"/>
        <v>0</v>
      </c>
      <c r="H282" s="194">
        <f t="shared" si="74"/>
        <v>323.10000000000002</v>
      </c>
      <c r="I282" s="195">
        <f t="shared" si="74"/>
        <v>0</v>
      </c>
      <c r="J282" s="196"/>
      <c r="K282" s="195">
        <f t="shared" si="74"/>
        <v>0</v>
      </c>
      <c r="L282" s="194">
        <f t="shared" si="74"/>
        <v>323.10000000000002</v>
      </c>
      <c r="M282" s="194">
        <f t="shared" si="74"/>
        <v>0</v>
      </c>
      <c r="N282" s="272">
        <f t="shared" si="74"/>
        <v>323.10000000000002</v>
      </c>
      <c r="O282" s="178">
        <f t="shared" si="72"/>
        <v>323.10000000000002</v>
      </c>
      <c r="P282" s="92">
        <f t="shared" si="73"/>
        <v>0</v>
      </c>
    </row>
    <row r="283" spans="1:16" ht="31.5" x14ac:dyDescent="0.2">
      <c r="A283" s="42"/>
      <c r="B283" s="168" t="s">
        <v>286</v>
      </c>
      <c r="C283" s="169" t="s">
        <v>287</v>
      </c>
      <c r="D283" s="170" t="s">
        <v>26</v>
      </c>
      <c r="E283" s="171"/>
      <c r="F283" s="172">
        <f t="shared" si="74"/>
        <v>323.10000000000002</v>
      </c>
      <c r="G283" s="172">
        <f t="shared" si="74"/>
        <v>0</v>
      </c>
      <c r="H283" s="172">
        <f t="shared" si="74"/>
        <v>323.10000000000002</v>
      </c>
      <c r="I283" s="188">
        <f t="shared" si="74"/>
        <v>0</v>
      </c>
      <c r="J283" s="189"/>
      <c r="K283" s="188">
        <f t="shared" si="74"/>
        <v>0</v>
      </c>
      <c r="L283" s="172">
        <f t="shared" si="74"/>
        <v>323.10000000000002</v>
      </c>
      <c r="M283" s="172">
        <f t="shared" si="74"/>
        <v>0</v>
      </c>
      <c r="N283" s="172">
        <f t="shared" si="74"/>
        <v>323.10000000000002</v>
      </c>
      <c r="O283" s="178">
        <f t="shared" si="72"/>
        <v>323.10000000000002</v>
      </c>
      <c r="P283" s="92">
        <f t="shared" si="73"/>
        <v>0</v>
      </c>
    </row>
    <row r="284" spans="1:16" ht="18.75" x14ac:dyDescent="0.2">
      <c r="A284" s="42"/>
      <c r="B284" s="168" t="s">
        <v>288</v>
      </c>
      <c r="C284" s="169" t="s">
        <v>289</v>
      </c>
      <c r="D284" s="170" t="s">
        <v>26</v>
      </c>
      <c r="E284" s="171"/>
      <c r="F284" s="172">
        <f t="shared" si="74"/>
        <v>323.10000000000002</v>
      </c>
      <c r="G284" s="172">
        <f t="shared" si="74"/>
        <v>0</v>
      </c>
      <c r="H284" s="172">
        <f t="shared" si="74"/>
        <v>323.10000000000002</v>
      </c>
      <c r="I284" s="188">
        <f t="shared" si="74"/>
        <v>0</v>
      </c>
      <c r="J284" s="189"/>
      <c r="K284" s="188">
        <f t="shared" si="74"/>
        <v>0</v>
      </c>
      <c r="L284" s="172">
        <f t="shared" si="74"/>
        <v>323.10000000000002</v>
      </c>
      <c r="M284" s="172">
        <f t="shared" si="74"/>
        <v>0</v>
      </c>
      <c r="N284" s="172">
        <f t="shared" si="74"/>
        <v>323.10000000000002</v>
      </c>
      <c r="O284" s="178">
        <f t="shared" si="72"/>
        <v>323.10000000000002</v>
      </c>
      <c r="P284" s="92">
        <f t="shared" si="73"/>
        <v>0</v>
      </c>
    </row>
    <row r="285" spans="1:16" ht="31.5" x14ac:dyDescent="0.2">
      <c r="A285" s="42"/>
      <c r="B285" s="168" t="s">
        <v>35</v>
      </c>
      <c r="C285" s="169" t="s">
        <v>289</v>
      </c>
      <c r="D285" s="170" t="s">
        <v>36</v>
      </c>
      <c r="E285" s="171"/>
      <c r="F285" s="172">
        <v>323.10000000000002</v>
      </c>
      <c r="G285" s="172"/>
      <c r="H285" s="172">
        <f>F285+G285</f>
        <v>323.10000000000002</v>
      </c>
      <c r="I285" s="188">
        <v>0</v>
      </c>
      <c r="J285" s="189"/>
      <c r="K285" s="188">
        <v>0</v>
      </c>
      <c r="L285" s="172">
        <f>SUM(F285)</f>
        <v>323.10000000000002</v>
      </c>
      <c r="M285" s="172">
        <f>SUM(G285)</f>
        <v>0</v>
      </c>
      <c r="N285" s="172">
        <f>SUM(H285)</f>
        <v>323.10000000000002</v>
      </c>
      <c r="O285" s="178">
        <f t="shared" si="72"/>
        <v>323.10000000000002</v>
      </c>
      <c r="P285" s="92">
        <f t="shared" si="73"/>
        <v>0</v>
      </c>
    </row>
    <row r="286" spans="1:16" ht="24.6" customHeight="1" x14ac:dyDescent="0.2">
      <c r="A286" s="49"/>
      <c r="B286" s="190" t="s">
        <v>290</v>
      </c>
      <c r="C286" s="191" t="s">
        <v>291</v>
      </c>
      <c r="D286" s="192" t="s">
        <v>26</v>
      </c>
      <c r="E286" s="193"/>
      <c r="F286" s="194">
        <f>F287</f>
        <v>7061.7000000000007</v>
      </c>
      <c r="G286" s="194">
        <f>G287</f>
        <v>0</v>
      </c>
      <c r="H286" s="194">
        <f>H287</f>
        <v>7061.7000000000007</v>
      </c>
      <c r="I286" s="195">
        <f>I287</f>
        <v>0</v>
      </c>
      <c r="J286" s="196"/>
      <c r="K286" s="195">
        <f>K287</f>
        <v>0</v>
      </c>
      <c r="L286" s="194">
        <f>L287</f>
        <v>7061.7000000000007</v>
      </c>
      <c r="M286" s="194">
        <f>M287</f>
        <v>0</v>
      </c>
      <c r="N286" s="272">
        <f>N287</f>
        <v>7061.7000000000007</v>
      </c>
      <c r="O286" s="178">
        <f t="shared" si="72"/>
        <v>7061.7000000000007</v>
      </c>
      <c r="P286" s="92">
        <f t="shared" si="73"/>
        <v>0</v>
      </c>
    </row>
    <row r="287" spans="1:16" ht="36.6" customHeight="1" x14ac:dyDescent="0.2">
      <c r="A287" s="42"/>
      <c r="B287" s="168" t="s">
        <v>292</v>
      </c>
      <c r="C287" s="169" t="s">
        <v>293</v>
      </c>
      <c r="D287" s="170" t="s">
        <v>26</v>
      </c>
      <c r="E287" s="171"/>
      <c r="F287" s="172">
        <f>F288+F290</f>
        <v>7061.7000000000007</v>
      </c>
      <c r="G287" s="172">
        <f>G288+G290</f>
        <v>0</v>
      </c>
      <c r="H287" s="172">
        <f>H288+H290</f>
        <v>7061.7000000000007</v>
      </c>
      <c r="I287" s="188">
        <f>I288+I290</f>
        <v>0</v>
      </c>
      <c r="J287" s="189"/>
      <c r="K287" s="188">
        <f>K288+K290</f>
        <v>0</v>
      </c>
      <c r="L287" s="172">
        <f>L288+L290</f>
        <v>7061.7000000000007</v>
      </c>
      <c r="M287" s="172">
        <f>M288+M290</f>
        <v>0</v>
      </c>
      <c r="N287" s="172">
        <f>N288+N290</f>
        <v>7061.7000000000007</v>
      </c>
      <c r="O287" s="178">
        <f t="shared" si="72"/>
        <v>7061.7000000000007</v>
      </c>
      <c r="P287" s="92">
        <f t="shared" si="73"/>
        <v>0</v>
      </c>
    </row>
    <row r="288" spans="1:16" ht="22.15" customHeight="1" x14ac:dyDescent="0.2">
      <c r="A288" s="42"/>
      <c r="B288" s="168" t="s">
        <v>294</v>
      </c>
      <c r="C288" s="169" t="s">
        <v>295</v>
      </c>
      <c r="D288" s="170" t="s">
        <v>26</v>
      </c>
      <c r="E288" s="171"/>
      <c r="F288" s="172">
        <f>F289</f>
        <v>1520.6</v>
      </c>
      <c r="G288" s="172">
        <f>G289</f>
        <v>0</v>
      </c>
      <c r="H288" s="172">
        <f>H289</f>
        <v>1520.6</v>
      </c>
      <c r="I288" s="188">
        <f>I289</f>
        <v>0</v>
      </c>
      <c r="J288" s="189"/>
      <c r="K288" s="188">
        <f>K289</f>
        <v>0</v>
      </c>
      <c r="L288" s="172">
        <f>L289</f>
        <v>1520.6</v>
      </c>
      <c r="M288" s="172">
        <f>M289</f>
        <v>0</v>
      </c>
      <c r="N288" s="172">
        <f>N289</f>
        <v>1520.6</v>
      </c>
      <c r="O288" s="178">
        <f t="shared" si="72"/>
        <v>1520.6</v>
      </c>
      <c r="P288" s="92">
        <f t="shared" si="73"/>
        <v>0</v>
      </c>
    </row>
    <row r="289" spans="1:16" ht="31.5" x14ac:dyDescent="0.2">
      <c r="A289" s="42"/>
      <c r="B289" s="168" t="s">
        <v>35</v>
      </c>
      <c r="C289" s="169" t="s">
        <v>295</v>
      </c>
      <c r="D289" s="170" t="s">
        <v>36</v>
      </c>
      <c r="E289" s="171"/>
      <c r="F289" s="172">
        <v>1520.6</v>
      </c>
      <c r="G289" s="172"/>
      <c r="H289" s="172">
        <f>SUM(F289:G289)</f>
        <v>1520.6</v>
      </c>
      <c r="I289" s="188">
        <v>0</v>
      </c>
      <c r="J289" s="189"/>
      <c r="K289" s="188">
        <v>0</v>
      </c>
      <c r="L289" s="172">
        <f>SUM(F289)</f>
        <v>1520.6</v>
      </c>
      <c r="M289" s="172">
        <f>SUM(G289)</f>
        <v>0</v>
      </c>
      <c r="N289" s="172">
        <f>SUM(H289)</f>
        <v>1520.6</v>
      </c>
      <c r="O289" s="178">
        <f t="shared" si="72"/>
        <v>1520.6</v>
      </c>
      <c r="P289" s="92">
        <f t="shared" si="73"/>
        <v>0</v>
      </c>
    </row>
    <row r="290" spans="1:16" ht="52.15" customHeight="1" x14ac:dyDescent="0.2">
      <c r="A290" s="42"/>
      <c r="B290" s="168" t="s">
        <v>296</v>
      </c>
      <c r="C290" s="169" t="s">
        <v>297</v>
      </c>
      <c r="D290" s="170" t="s">
        <v>26</v>
      </c>
      <c r="E290" s="171"/>
      <c r="F290" s="172">
        <f>F291</f>
        <v>5541.1</v>
      </c>
      <c r="G290" s="172">
        <f>G291</f>
        <v>0</v>
      </c>
      <c r="H290" s="172">
        <f>H291</f>
        <v>5541.1</v>
      </c>
      <c r="I290" s="188">
        <f>I291</f>
        <v>0</v>
      </c>
      <c r="J290" s="189"/>
      <c r="K290" s="188">
        <f>K291</f>
        <v>0</v>
      </c>
      <c r="L290" s="172">
        <f>L291</f>
        <v>5541.1</v>
      </c>
      <c r="M290" s="172">
        <f>M291</f>
        <v>0</v>
      </c>
      <c r="N290" s="273">
        <f>N291</f>
        <v>5541.1</v>
      </c>
      <c r="O290" s="178">
        <f t="shared" si="72"/>
        <v>5541.1</v>
      </c>
      <c r="P290" s="92">
        <f t="shared" si="73"/>
        <v>0</v>
      </c>
    </row>
    <row r="291" spans="1:16" ht="18.75" x14ac:dyDescent="0.2">
      <c r="A291" s="42"/>
      <c r="B291" s="168" t="s">
        <v>278</v>
      </c>
      <c r="C291" s="169" t="s">
        <v>297</v>
      </c>
      <c r="D291" s="170" t="s">
        <v>279</v>
      </c>
      <c r="E291" s="171"/>
      <c r="F291" s="172">
        <v>5541.1</v>
      </c>
      <c r="G291" s="172"/>
      <c r="H291" s="172">
        <v>5541.1</v>
      </c>
      <c r="I291" s="188">
        <v>0</v>
      </c>
      <c r="J291" s="189"/>
      <c r="K291" s="188">
        <v>0</v>
      </c>
      <c r="L291" s="172">
        <f>SUM(F291)</f>
        <v>5541.1</v>
      </c>
      <c r="M291" s="172">
        <f>SUM(G291)</f>
        <v>0</v>
      </c>
      <c r="N291" s="273">
        <f>SUM(H291)</f>
        <v>5541.1</v>
      </c>
      <c r="O291" s="178">
        <f t="shared" si="72"/>
        <v>5541.1</v>
      </c>
      <c r="P291" s="92">
        <f t="shared" si="73"/>
        <v>0</v>
      </c>
    </row>
    <row r="292" spans="1:16" ht="18.75" x14ac:dyDescent="0.2">
      <c r="A292" s="49"/>
      <c r="B292" s="190" t="s">
        <v>298</v>
      </c>
      <c r="C292" s="191" t="s">
        <v>299</v>
      </c>
      <c r="D292" s="192" t="s">
        <v>26</v>
      </c>
      <c r="E292" s="193"/>
      <c r="F292" s="194">
        <f t="shared" ref="F292:N294" si="75">F293</f>
        <v>20</v>
      </c>
      <c r="G292" s="194">
        <f t="shared" si="75"/>
        <v>0</v>
      </c>
      <c r="H292" s="194">
        <f t="shared" si="75"/>
        <v>20</v>
      </c>
      <c r="I292" s="195">
        <f t="shared" si="75"/>
        <v>0</v>
      </c>
      <c r="J292" s="194">
        <f>J293</f>
        <v>0</v>
      </c>
      <c r="K292" s="195">
        <f t="shared" si="75"/>
        <v>0</v>
      </c>
      <c r="L292" s="194">
        <f t="shared" si="75"/>
        <v>20</v>
      </c>
      <c r="M292" s="194">
        <f t="shared" si="75"/>
        <v>0</v>
      </c>
      <c r="N292" s="272">
        <f t="shared" si="75"/>
        <v>20</v>
      </c>
      <c r="O292" s="178">
        <f t="shared" si="72"/>
        <v>20</v>
      </c>
      <c r="P292" s="92">
        <f t="shared" si="73"/>
        <v>0</v>
      </c>
    </row>
    <row r="293" spans="1:16" ht="31.5" x14ac:dyDescent="0.2">
      <c r="A293" s="42"/>
      <c r="B293" s="168" t="s">
        <v>300</v>
      </c>
      <c r="C293" s="169" t="s">
        <v>301</v>
      </c>
      <c r="D293" s="170" t="s">
        <v>26</v>
      </c>
      <c r="E293" s="171"/>
      <c r="F293" s="172">
        <f t="shared" si="75"/>
        <v>20</v>
      </c>
      <c r="G293" s="172">
        <f t="shared" si="75"/>
        <v>0</v>
      </c>
      <c r="H293" s="172">
        <f t="shared" si="75"/>
        <v>20</v>
      </c>
      <c r="I293" s="188">
        <f t="shared" si="75"/>
        <v>0</v>
      </c>
      <c r="J293" s="189"/>
      <c r="K293" s="188">
        <f t="shared" si="75"/>
        <v>0</v>
      </c>
      <c r="L293" s="172">
        <f t="shared" si="75"/>
        <v>20</v>
      </c>
      <c r="M293" s="172">
        <f t="shared" si="75"/>
        <v>0</v>
      </c>
      <c r="N293" s="172">
        <f t="shared" si="75"/>
        <v>20</v>
      </c>
      <c r="O293" s="178">
        <f t="shared" si="72"/>
        <v>20</v>
      </c>
      <c r="P293" s="92">
        <f t="shared" si="73"/>
        <v>0</v>
      </c>
    </row>
    <row r="294" spans="1:16" ht="18.75" x14ac:dyDescent="0.2">
      <c r="A294" s="42"/>
      <c r="B294" s="168" t="s">
        <v>302</v>
      </c>
      <c r="C294" s="169" t="s">
        <v>303</v>
      </c>
      <c r="D294" s="170" t="s">
        <v>26</v>
      </c>
      <c r="E294" s="171"/>
      <c r="F294" s="172">
        <f t="shared" si="75"/>
        <v>20</v>
      </c>
      <c r="G294" s="172">
        <f t="shared" si="75"/>
        <v>0</v>
      </c>
      <c r="H294" s="172">
        <f t="shared" si="75"/>
        <v>20</v>
      </c>
      <c r="I294" s="188">
        <f t="shared" si="75"/>
        <v>0</v>
      </c>
      <c r="J294" s="189"/>
      <c r="K294" s="188">
        <f t="shared" si="75"/>
        <v>0</v>
      </c>
      <c r="L294" s="172">
        <f t="shared" si="75"/>
        <v>20</v>
      </c>
      <c r="M294" s="172">
        <f t="shared" si="75"/>
        <v>0</v>
      </c>
      <c r="N294" s="172">
        <f t="shared" si="75"/>
        <v>20</v>
      </c>
      <c r="O294" s="178">
        <f t="shared" si="72"/>
        <v>20</v>
      </c>
      <c r="P294" s="92">
        <f t="shared" si="73"/>
        <v>0</v>
      </c>
    </row>
    <row r="295" spans="1:16" ht="31.5" x14ac:dyDescent="0.2">
      <c r="A295" s="42"/>
      <c r="B295" s="168" t="s">
        <v>35</v>
      </c>
      <c r="C295" s="169" t="s">
        <v>303</v>
      </c>
      <c r="D295" s="170" t="s">
        <v>36</v>
      </c>
      <c r="E295" s="171"/>
      <c r="F295" s="172">
        <v>20</v>
      </c>
      <c r="G295" s="172"/>
      <c r="H295" s="172">
        <v>20</v>
      </c>
      <c r="I295" s="188">
        <v>0</v>
      </c>
      <c r="J295" s="189"/>
      <c r="K295" s="188">
        <v>0</v>
      </c>
      <c r="L295" s="172">
        <v>20</v>
      </c>
      <c r="M295" s="172"/>
      <c r="N295" s="172">
        <v>20</v>
      </c>
      <c r="O295" s="178">
        <f t="shared" si="72"/>
        <v>20</v>
      </c>
      <c r="P295" s="92">
        <f t="shared" si="73"/>
        <v>0</v>
      </c>
    </row>
    <row r="296" spans="1:16" ht="18.75" x14ac:dyDescent="0.2">
      <c r="A296" s="49"/>
      <c r="B296" s="190" t="s">
        <v>140</v>
      </c>
      <c r="C296" s="191" t="s">
        <v>304</v>
      </c>
      <c r="D296" s="192" t="s">
        <v>26</v>
      </c>
      <c r="E296" s="193"/>
      <c r="F296" s="194">
        <f t="shared" ref="F296:M296" si="76">F297+F300</f>
        <v>3869.2</v>
      </c>
      <c r="G296" s="194">
        <f t="shared" si="76"/>
        <v>0</v>
      </c>
      <c r="H296" s="194">
        <f t="shared" si="76"/>
        <v>3869.2</v>
      </c>
      <c r="I296" s="195">
        <f t="shared" si="76"/>
        <v>0</v>
      </c>
      <c r="J296" s="194">
        <f t="shared" si="76"/>
        <v>0</v>
      </c>
      <c r="K296" s="195">
        <f t="shared" si="76"/>
        <v>0</v>
      </c>
      <c r="L296" s="194">
        <f t="shared" si="76"/>
        <v>3869.2</v>
      </c>
      <c r="M296" s="194">
        <f t="shared" si="76"/>
        <v>0</v>
      </c>
      <c r="N296" s="272">
        <f>N297+N300</f>
        <v>3869.2</v>
      </c>
      <c r="O296" s="178">
        <f t="shared" si="72"/>
        <v>3869.2</v>
      </c>
      <c r="P296" s="92">
        <f t="shared" si="73"/>
        <v>0</v>
      </c>
    </row>
    <row r="297" spans="1:16" ht="30.6" customHeight="1" x14ac:dyDescent="0.2">
      <c r="A297" s="42"/>
      <c r="B297" s="168" t="s">
        <v>305</v>
      </c>
      <c r="C297" s="169" t="s">
        <v>306</v>
      </c>
      <c r="D297" s="170" t="s">
        <v>26</v>
      </c>
      <c r="E297" s="171"/>
      <c r="F297" s="172">
        <f t="shared" ref="F297:N298" si="77">F298</f>
        <v>3774.2</v>
      </c>
      <c r="G297" s="172">
        <f t="shared" si="77"/>
        <v>0</v>
      </c>
      <c r="H297" s="172">
        <f t="shared" si="77"/>
        <v>3774.2</v>
      </c>
      <c r="I297" s="188">
        <f t="shared" si="77"/>
        <v>0</v>
      </c>
      <c r="J297" s="189"/>
      <c r="K297" s="188">
        <f t="shared" si="77"/>
        <v>0</v>
      </c>
      <c r="L297" s="172">
        <f t="shared" si="77"/>
        <v>3774.2</v>
      </c>
      <c r="M297" s="172">
        <f t="shared" si="77"/>
        <v>0</v>
      </c>
      <c r="N297" s="172">
        <f t="shared" si="77"/>
        <v>3774.2</v>
      </c>
      <c r="O297" s="178">
        <f t="shared" si="72"/>
        <v>3774.2</v>
      </c>
      <c r="P297" s="92">
        <f t="shared" si="73"/>
        <v>0</v>
      </c>
    </row>
    <row r="298" spans="1:16" ht="63" x14ac:dyDescent="0.2">
      <c r="A298" s="42"/>
      <c r="B298" s="168" t="s">
        <v>307</v>
      </c>
      <c r="C298" s="169" t="s">
        <v>308</v>
      </c>
      <c r="D298" s="170" t="s">
        <v>26</v>
      </c>
      <c r="E298" s="171"/>
      <c r="F298" s="172">
        <f t="shared" si="77"/>
        <v>3774.2</v>
      </c>
      <c r="G298" s="172">
        <f t="shared" si="77"/>
        <v>0</v>
      </c>
      <c r="H298" s="172">
        <f t="shared" si="77"/>
        <v>3774.2</v>
      </c>
      <c r="I298" s="188">
        <f t="shared" si="77"/>
        <v>0</v>
      </c>
      <c r="J298" s="189"/>
      <c r="K298" s="188">
        <f t="shared" si="77"/>
        <v>0</v>
      </c>
      <c r="L298" s="172">
        <f t="shared" si="77"/>
        <v>3774.2</v>
      </c>
      <c r="M298" s="172">
        <f t="shared" si="77"/>
        <v>0</v>
      </c>
      <c r="N298" s="172">
        <f t="shared" si="77"/>
        <v>3774.2</v>
      </c>
      <c r="O298" s="178">
        <f t="shared" si="72"/>
        <v>3774.2</v>
      </c>
      <c r="P298" s="92">
        <f t="shared" si="73"/>
        <v>0</v>
      </c>
    </row>
    <row r="299" spans="1:16" ht="18.75" x14ac:dyDescent="0.2">
      <c r="A299" s="42"/>
      <c r="B299" s="168" t="s">
        <v>278</v>
      </c>
      <c r="C299" s="169" t="s">
        <v>308</v>
      </c>
      <c r="D299" s="170" t="s">
        <v>279</v>
      </c>
      <c r="E299" s="171"/>
      <c r="F299" s="172">
        <v>3774.2</v>
      </c>
      <c r="G299" s="172"/>
      <c r="H299" s="172">
        <v>3774.2</v>
      </c>
      <c r="I299" s="188">
        <v>0</v>
      </c>
      <c r="J299" s="189"/>
      <c r="K299" s="188">
        <v>0</v>
      </c>
      <c r="L299" s="172">
        <f>SUM(F299)</f>
        <v>3774.2</v>
      </c>
      <c r="M299" s="172">
        <f>SUM(G299)</f>
        <v>0</v>
      </c>
      <c r="N299" s="172">
        <f>SUM(H299)</f>
        <v>3774.2</v>
      </c>
      <c r="O299" s="178">
        <f t="shared" si="72"/>
        <v>3774.2</v>
      </c>
      <c r="P299" s="92">
        <f t="shared" si="73"/>
        <v>0</v>
      </c>
    </row>
    <row r="300" spans="1:16" ht="47.25" x14ac:dyDescent="0.2">
      <c r="A300" s="42"/>
      <c r="B300" s="168" t="s">
        <v>309</v>
      </c>
      <c r="C300" s="169" t="s">
        <v>310</v>
      </c>
      <c r="D300" s="170" t="s">
        <v>26</v>
      </c>
      <c r="E300" s="171"/>
      <c r="F300" s="172">
        <f t="shared" ref="F300:N301" si="78">F301</f>
        <v>95</v>
      </c>
      <c r="G300" s="172">
        <f t="shared" si="78"/>
        <v>0</v>
      </c>
      <c r="H300" s="172">
        <f t="shared" si="78"/>
        <v>95</v>
      </c>
      <c r="I300" s="188">
        <f t="shared" si="78"/>
        <v>0</v>
      </c>
      <c r="J300" s="189"/>
      <c r="K300" s="188">
        <f t="shared" si="78"/>
        <v>0</v>
      </c>
      <c r="L300" s="172">
        <f t="shared" si="78"/>
        <v>95</v>
      </c>
      <c r="M300" s="172">
        <f t="shared" si="78"/>
        <v>0</v>
      </c>
      <c r="N300" s="172">
        <f t="shared" si="78"/>
        <v>95</v>
      </c>
      <c r="O300" s="178">
        <f t="shared" si="72"/>
        <v>95</v>
      </c>
      <c r="P300" s="92">
        <f t="shared" si="73"/>
        <v>0</v>
      </c>
    </row>
    <row r="301" spans="1:16" ht="18.75" x14ac:dyDescent="0.2">
      <c r="A301" s="42"/>
      <c r="B301" s="168" t="s">
        <v>311</v>
      </c>
      <c r="C301" s="169" t="s">
        <v>312</v>
      </c>
      <c r="D301" s="170" t="s">
        <v>26</v>
      </c>
      <c r="E301" s="171"/>
      <c r="F301" s="172">
        <f t="shared" si="78"/>
        <v>95</v>
      </c>
      <c r="G301" s="172">
        <f t="shared" si="78"/>
        <v>0</v>
      </c>
      <c r="H301" s="172">
        <f t="shared" si="78"/>
        <v>95</v>
      </c>
      <c r="I301" s="188">
        <f t="shared" si="78"/>
        <v>0</v>
      </c>
      <c r="J301" s="189"/>
      <c r="K301" s="188">
        <f t="shared" si="78"/>
        <v>0</v>
      </c>
      <c r="L301" s="172">
        <f t="shared" si="78"/>
        <v>95</v>
      </c>
      <c r="M301" s="172">
        <f t="shared" si="78"/>
        <v>0</v>
      </c>
      <c r="N301" s="172">
        <f t="shared" si="78"/>
        <v>95</v>
      </c>
      <c r="O301" s="178">
        <f t="shared" si="72"/>
        <v>95</v>
      </c>
      <c r="P301" s="92">
        <f t="shared" si="73"/>
        <v>0</v>
      </c>
    </row>
    <row r="302" spans="1:16" ht="30" customHeight="1" x14ac:dyDescent="0.2">
      <c r="A302" s="42"/>
      <c r="B302" s="168" t="s">
        <v>35</v>
      </c>
      <c r="C302" s="169" t="s">
        <v>312</v>
      </c>
      <c r="D302" s="170" t="s">
        <v>36</v>
      </c>
      <c r="E302" s="171"/>
      <c r="F302" s="172">
        <v>95</v>
      </c>
      <c r="G302" s="172"/>
      <c r="H302" s="172">
        <v>95</v>
      </c>
      <c r="I302" s="188">
        <v>0</v>
      </c>
      <c r="J302" s="189"/>
      <c r="K302" s="188">
        <v>0</v>
      </c>
      <c r="L302" s="172">
        <v>95</v>
      </c>
      <c r="M302" s="172"/>
      <c r="N302" s="172">
        <v>95</v>
      </c>
      <c r="O302" s="178">
        <f t="shared" si="72"/>
        <v>95</v>
      </c>
      <c r="P302" s="92">
        <f t="shared" si="73"/>
        <v>0</v>
      </c>
    </row>
    <row r="303" spans="1:16" ht="31.5" hidden="1" x14ac:dyDescent="0.2">
      <c r="A303" s="42"/>
      <c r="B303" s="168" t="s">
        <v>448</v>
      </c>
      <c r="C303" s="169" t="s">
        <v>422</v>
      </c>
      <c r="D303" s="170"/>
      <c r="E303" s="171"/>
      <c r="F303" s="172"/>
      <c r="G303" s="172"/>
      <c r="H303" s="172">
        <f>SUM(G303)</f>
        <v>0</v>
      </c>
      <c r="I303" s="188"/>
      <c r="J303" s="189"/>
      <c r="K303" s="188"/>
      <c r="L303" s="172"/>
      <c r="M303" s="172">
        <f>SUM(G303)</f>
        <v>0</v>
      </c>
      <c r="N303" s="172">
        <f>SUM(H303)</f>
        <v>0</v>
      </c>
      <c r="O303" s="178">
        <f t="shared" si="72"/>
        <v>0</v>
      </c>
      <c r="P303" s="92">
        <f t="shared" si="73"/>
        <v>0</v>
      </c>
    </row>
    <row r="304" spans="1:16" ht="18.75" hidden="1" x14ac:dyDescent="0.2">
      <c r="A304" s="42"/>
      <c r="B304" s="168" t="s">
        <v>432</v>
      </c>
      <c r="C304" s="169" t="s">
        <v>433</v>
      </c>
      <c r="D304" s="170"/>
      <c r="E304" s="171"/>
      <c r="F304" s="172"/>
      <c r="G304" s="172"/>
      <c r="H304" s="172">
        <f>SUM(G304)</f>
        <v>0</v>
      </c>
      <c r="I304" s="188"/>
      <c r="J304" s="189"/>
      <c r="K304" s="188"/>
      <c r="L304" s="172"/>
      <c r="M304" s="172">
        <f>SUM(G304)</f>
        <v>0</v>
      </c>
      <c r="N304" s="172" t="s">
        <v>447</v>
      </c>
      <c r="O304" s="178">
        <f t="shared" si="72"/>
        <v>0</v>
      </c>
      <c r="P304" s="92" t="e">
        <f t="shared" si="73"/>
        <v>#VALUE!</v>
      </c>
    </row>
    <row r="305" spans="1:16" ht="31.5" hidden="1" x14ac:dyDescent="0.2">
      <c r="A305" s="42"/>
      <c r="B305" s="168" t="s">
        <v>434</v>
      </c>
      <c r="C305" s="169" t="s">
        <v>435</v>
      </c>
      <c r="D305" s="170"/>
      <c r="E305" s="171"/>
      <c r="F305" s="172"/>
      <c r="G305" s="172"/>
      <c r="H305" s="172">
        <f>SUM(G305)</f>
        <v>0</v>
      </c>
      <c r="I305" s="188"/>
      <c r="J305" s="189"/>
      <c r="K305" s="188"/>
      <c r="L305" s="172"/>
      <c r="M305" s="172">
        <f>SUM(G306)</f>
        <v>0</v>
      </c>
      <c r="N305" s="172">
        <f>SUM(H306)</f>
        <v>0</v>
      </c>
      <c r="O305" s="178">
        <f t="shared" si="72"/>
        <v>0</v>
      </c>
      <c r="P305" s="92">
        <f t="shared" si="73"/>
        <v>0</v>
      </c>
    </row>
    <row r="306" spans="1:16" ht="31.5" hidden="1" x14ac:dyDescent="0.2">
      <c r="A306" s="42"/>
      <c r="B306" s="168" t="s">
        <v>35</v>
      </c>
      <c r="C306" s="169" t="s">
        <v>435</v>
      </c>
      <c r="D306" s="170" t="s">
        <v>36</v>
      </c>
      <c r="E306" s="171"/>
      <c r="F306" s="172"/>
      <c r="G306" s="172"/>
      <c r="H306" s="172">
        <f>SUM(G306)</f>
        <v>0</v>
      </c>
      <c r="I306" s="188"/>
      <c r="J306" s="189"/>
      <c r="K306" s="188"/>
      <c r="L306" s="172"/>
      <c r="M306" s="172">
        <f>SUM(G306)</f>
        <v>0</v>
      </c>
      <c r="N306" s="172">
        <f>SUM(H306)</f>
        <v>0</v>
      </c>
      <c r="O306" s="178">
        <f t="shared" si="72"/>
        <v>0</v>
      </c>
      <c r="P306" s="92">
        <f t="shared" si="73"/>
        <v>0</v>
      </c>
    </row>
    <row r="307" spans="1:16" ht="47.25" x14ac:dyDescent="0.2">
      <c r="A307" s="19" t="s">
        <v>313</v>
      </c>
      <c r="B307" s="182" t="s">
        <v>314</v>
      </c>
      <c r="C307" s="183" t="s">
        <v>315</v>
      </c>
      <c r="D307" s="184" t="s">
        <v>26</v>
      </c>
      <c r="E307" s="185"/>
      <c r="F307" s="186">
        <f t="shared" ref="F307:N307" si="79">F308+F318+F323</f>
        <v>7888.4</v>
      </c>
      <c r="G307" s="186">
        <f t="shared" si="79"/>
        <v>-349.8</v>
      </c>
      <c r="H307" s="186">
        <f t="shared" si="79"/>
        <v>7538.6</v>
      </c>
      <c r="I307" s="187">
        <f t="shared" si="79"/>
        <v>700</v>
      </c>
      <c r="J307" s="186">
        <f t="shared" si="79"/>
        <v>0</v>
      </c>
      <c r="K307" s="187">
        <f t="shared" si="79"/>
        <v>700</v>
      </c>
      <c r="L307" s="186">
        <f t="shared" si="79"/>
        <v>8588.4</v>
      </c>
      <c r="M307" s="186">
        <f t="shared" si="79"/>
        <v>-349.8</v>
      </c>
      <c r="N307" s="186">
        <f t="shared" si="79"/>
        <v>8238.6</v>
      </c>
      <c r="O307" s="178">
        <f t="shared" si="72"/>
        <v>8238.6</v>
      </c>
      <c r="P307" s="92">
        <f t="shared" si="73"/>
        <v>0</v>
      </c>
    </row>
    <row r="308" spans="1:16" ht="31.5" x14ac:dyDescent="0.2">
      <c r="A308" s="49"/>
      <c r="B308" s="190" t="s">
        <v>316</v>
      </c>
      <c r="C308" s="191" t="s">
        <v>317</v>
      </c>
      <c r="D308" s="192" t="s">
        <v>26</v>
      </c>
      <c r="E308" s="193"/>
      <c r="F308" s="194">
        <f t="shared" ref="F308:N308" si="80">F309</f>
        <v>2628.4</v>
      </c>
      <c r="G308" s="194">
        <f t="shared" si="80"/>
        <v>-349.8</v>
      </c>
      <c r="H308" s="194">
        <f t="shared" si="80"/>
        <v>2278.6</v>
      </c>
      <c r="I308" s="195">
        <f t="shared" si="80"/>
        <v>600</v>
      </c>
      <c r="J308" s="194">
        <f t="shared" si="80"/>
        <v>0</v>
      </c>
      <c r="K308" s="195">
        <f t="shared" si="80"/>
        <v>600</v>
      </c>
      <c r="L308" s="194">
        <f t="shared" si="80"/>
        <v>3228.4</v>
      </c>
      <c r="M308" s="194">
        <f t="shared" si="80"/>
        <v>-349.8</v>
      </c>
      <c r="N308" s="194">
        <f t="shared" si="80"/>
        <v>2878.6</v>
      </c>
      <c r="O308" s="178">
        <f t="shared" si="72"/>
        <v>2878.6</v>
      </c>
      <c r="P308" s="92">
        <f t="shared" si="73"/>
        <v>0</v>
      </c>
    </row>
    <row r="309" spans="1:16" ht="31.5" x14ac:dyDescent="0.2">
      <c r="A309" s="42"/>
      <c r="B309" s="168" t="s">
        <v>318</v>
      </c>
      <c r="C309" s="169" t="s">
        <v>319</v>
      </c>
      <c r="D309" s="170" t="s">
        <v>26</v>
      </c>
      <c r="E309" s="171"/>
      <c r="F309" s="172">
        <f>F310+F313</f>
        <v>2628.4</v>
      </c>
      <c r="G309" s="172">
        <f>G310+G313</f>
        <v>-349.8</v>
      </c>
      <c r="H309" s="172">
        <f>H310+H313</f>
        <v>2278.6</v>
      </c>
      <c r="I309" s="188">
        <f>I310+I313+I316</f>
        <v>600</v>
      </c>
      <c r="J309" s="189">
        <f>SUM(J316)</f>
        <v>0</v>
      </c>
      <c r="K309" s="189">
        <f>SUM(K316)</f>
        <v>600</v>
      </c>
      <c r="L309" s="172">
        <f>L310+L313+I309</f>
        <v>3228.4</v>
      </c>
      <c r="M309" s="189">
        <f>SUM(M316)+M310+M313</f>
        <v>-349.8</v>
      </c>
      <c r="N309" s="172">
        <f>N310+N313+K309</f>
        <v>2878.6</v>
      </c>
      <c r="O309" s="178">
        <f t="shared" si="72"/>
        <v>2878.6</v>
      </c>
      <c r="P309" s="92">
        <f t="shared" si="73"/>
        <v>0</v>
      </c>
    </row>
    <row r="310" spans="1:16" ht="31.5" x14ac:dyDescent="0.2">
      <c r="A310" s="42"/>
      <c r="B310" s="168" t="s">
        <v>316</v>
      </c>
      <c r="C310" s="169" t="s">
        <v>320</v>
      </c>
      <c r="D310" s="170" t="s">
        <v>26</v>
      </c>
      <c r="E310" s="171"/>
      <c r="F310" s="172">
        <f>F312+F311</f>
        <v>2318.4</v>
      </c>
      <c r="G310" s="172">
        <f>G312+G311</f>
        <v>-349.8</v>
      </c>
      <c r="H310" s="172">
        <f>H312+H311</f>
        <v>1968.6</v>
      </c>
      <c r="I310" s="188">
        <f>I312</f>
        <v>0</v>
      </c>
      <c r="J310" s="189"/>
      <c r="K310" s="188">
        <f>K312</f>
        <v>0</v>
      </c>
      <c r="L310" s="172">
        <f>L312+L311</f>
        <v>2318.4</v>
      </c>
      <c r="M310" s="172">
        <f>M312+M311</f>
        <v>-349.8</v>
      </c>
      <c r="N310" s="172">
        <f>N312+N311</f>
        <v>1968.6</v>
      </c>
      <c r="O310" s="178">
        <f t="shared" si="72"/>
        <v>1968.6000000000001</v>
      </c>
      <c r="P310" s="92">
        <f t="shared" si="73"/>
        <v>0</v>
      </c>
    </row>
    <row r="311" spans="1:16" ht="31.5" x14ac:dyDescent="0.2">
      <c r="A311" s="42"/>
      <c r="B311" s="168" t="s">
        <v>35</v>
      </c>
      <c r="C311" s="169" t="s">
        <v>320</v>
      </c>
      <c r="D311" s="170" t="s">
        <v>36</v>
      </c>
      <c r="E311" s="171"/>
      <c r="F311" s="172">
        <v>232.4</v>
      </c>
      <c r="G311" s="172">
        <v>116.2</v>
      </c>
      <c r="H311" s="172">
        <f>SUM(F311)+G311</f>
        <v>348.6</v>
      </c>
      <c r="I311" s="188"/>
      <c r="J311" s="189"/>
      <c r="K311" s="188"/>
      <c r="L311" s="172">
        <f>SUM(F311)</f>
        <v>232.4</v>
      </c>
      <c r="M311" s="172">
        <f>SUM(G311)</f>
        <v>116.2</v>
      </c>
      <c r="N311" s="172">
        <f>SUM(H311)</f>
        <v>348.6</v>
      </c>
      <c r="O311" s="178">
        <f t="shared" si="72"/>
        <v>348.6</v>
      </c>
      <c r="P311" s="92">
        <f t="shared" si="73"/>
        <v>0</v>
      </c>
    </row>
    <row r="312" spans="1:16" ht="18.75" x14ac:dyDescent="0.2">
      <c r="A312" s="42"/>
      <c r="B312" s="168" t="s">
        <v>54</v>
      </c>
      <c r="C312" s="169" t="s">
        <v>320</v>
      </c>
      <c r="D312" s="170" t="s">
        <v>55</v>
      </c>
      <c r="E312" s="171"/>
      <c r="F312" s="172">
        <v>2086</v>
      </c>
      <c r="G312" s="172">
        <v>-466</v>
      </c>
      <c r="H312" s="172">
        <f>SUM(F312:G312)</f>
        <v>1620</v>
      </c>
      <c r="I312" s="188">
        <v>0</v>
      </c>
      <c r="J312" s="189"/>
      <c r="K312" s="188">
        <v>0</v>
      </c>
      <c r="L312" s="172">
        <f>SUM(F312)</f>
        <v>2086</v>
      </c>
      <c r="M312" s="172">
        <f>G312+J312</f>
        <v>-466</v>
      </c>
      <c r="N312" s="172">
        <f>SUM(L312:M312)</f>
        <v>1620</v>
      </c>
      <c r="O312" s="178">
        <f t="shared" si="72"/>
        <v>1620</v>
      </c>
      <c r="P312" s="92">
        <f t="shared" si="73"/>
        <v>0</v>
      </c>
    </row>
    <row r="313" spans="1:16" ht="31.5" x14ac:dyDescent="0.2">
      <c r="A313" s="42"/>
      <c r="B313" s="168" t="s">
        <v>321</v>
      </c>
      <c r="C313" s="169" t="s">
        <v>322</v>
      </c>
      <c r="D313" s="170" t="s">
        <v>26</v>
      </c>
      <c r="E313" s="171"/>
      <c r="F313" s="172">
        <f>F314+F315</f>
        <v>310</v>
      </c>
      <c r="G313" s="172">
        <f>G314+G315</f>
        <v>0</v>
      </c>
      <c r="H313" s="172">
        <f>H314+H315</f>
        <v>310</v>
      </c>
      <c r="I313" s="188">
        <f>I314+I315</f>
        <v>0</v>
      </c>
      <c r="J313" s="189"/>
      <c r="K313" s="188">
        <f>K314+K315</f>
        <v>0</v>
      </c>
      <c r="L313" s="172">
        <f>L314+L315</f>
        <v>310</v>
      </c>
      <c r="M313" s="172">
        <f>M314+M315</f>
        <v>0</v>
      </c>
      <c r="N313" s="172">
        <f>N314+N315</f>
        <v>310</v>
      </c>
      <c r="O313" s="178">
        <f t="shared" si="72"/>
        <v>310</v>
      </c>
      <c r="P313" s="92">
        <f t="shared" si="73"/>
        <v>0</v>
      </c>
    </row>
    <row r="314" spans="1:16" ht="31.5" x14ac:dyDescent="0.2">
      <c r="A314" s="42"/>
      <c r="B314" s="168" t="s">
        <v>35</v>
      </c>
      <c r="C314" s="169" t="s">
        <v>322</v>
      </c>
      <c r="D314" s="170" t="s">
        <v>36</v>
      </c>
      <c r="E314" s="171"/>
      <c r="F314" s="172">
        <v>300</v>
      </c>
      <c r="G314" s="172"/>
      <c r="H314" s="172">
        <v>300</v>
      </c>
      <c r="I314" s="188">
        <v>0</v>
      </c>
      <c r="J314" s="189"/>
      <c r="K314" s="188">
        <v>0</v>
      </c>
      <c r="L314" s="172">
        <v>300</v>
      </c>
      <c r="M314" s="172"/>
      <c r="N314" s="172">
        <v>300</v>
      </c>
      <c r="O314" s="178">
        <f t="shared" si="72"/>
        <v>300</v>
      </c>
      <c r="P314" s="92">
        <f t="shared" si="73"/>
        <v>0</v>
      </c>
    </row>
    <row r="315" spans="1:16" ht="18.75" x14ac:dyDescent="0.2">
      <c r="A315" s="42"/>
      <c r="B315" s="168" t="s">
        <v>54</v>
      </c>
      <c r="C315" s="169" t="s">
        <v>322</v>
      </c>
      <c r="D315" s="170" t="s">
        <v>55</v>
      </c>
      <c r="E315" s="171"/>
      <c r="F315" s="172">
        <v>10</v>
      </c>
      <c r="G315" s="172"/>
      <c r="H315" s="172">
        <v>10</v>
      </c>
      <c r="I315" s="188">
        <v>0</v>
      </c>
      <c r="J315" s="189"/>
      <c r="K315" s="188">
        <v>0</v>
      </c>
      <c r="L315" s="172">
        <v>10</v>
      </c>
      <c r="M315" s="172"/>
      <c r="N315" s="172">
        <v>10</v>
      </c>
      <c r="O315" s="178">
        <f t="shared" si="72"/>
        <v>10</v>
      </c>
      <c r="P315" s="92">
        <f t="shared" si="73"/>
        <v>0</v>
      </c>
    </row>
    <row r="316" spans="1:16" ht="31.5" x14ac:dyDescent="0.2">
      <c r="A316" s="42"/>
      <c r="B316" s="168" t="s">
        <v>468</v>
      </c>
      <c r="C316" s="169" t="s">
        <v>466</v>
      </c>
      <c r="D316" s="170"/>
      <c r="E316" s="171"/>
      <c r="F316" s="172"/>
      <c r="G316" s="172"/>
      <c r="H316" s="172"/>
      <c r="I316" s="188">
        <v>600</v>
      </c>
      <c r="J316" s="189">
        <f>SUM(J317)</f>
        <v>0</v>
      </c>
      <c r="K316" s="189">
        <f>SUM(K317)</f>
        <v>600</v>
      </c>
      <c r="L316" s="172">
        <f t="shared" ref="L316:N317" si="81">SUM(I316)</f>
        <v>600</v>
      </c>
      <c r="M316" s="172">
        <f t="shared" si="81"/>
        <v>0</v>
      </c>
      <c r="N316" s="172">
        <f t="shared" si="81"/>
        <v>600</v>
      </c>
      <c r="O316" s="178">
        <f t="shared" si="72"/>
        <v>600</v>
      </c>
      <c r="P316" s="92">
        <f t="shared" si="73"/>
        <v>0</v>
      </c>
    </row>
    <row r="317" spans="1:16" ht="31.5" x14ac:dyDescent="0.2">
      <c r="A317" s="42"/>
      <c r="B317" s="168" t="s">
        <v>35</v>
      </c>
      <c r="C317" s="169" t="s">
        <v>466</v>
      </c>
      <c r="D317" s="170" t="s">
        <v>36</v>
      </c>
      <c r="E317" s="171"/>
      <c r="F317" s="172"/>
      <c r="G317" s="172"/>
      <c r="H317" s="172"/>
      <c r="I317" s="188">
        <v>600</v>
      </c>
      <c r="J317" s="189"/>
      <c r="K317" s="188">
        <f>SUM(I317)</f>
        <v>600</v>
      </c>
      <c r="L317" s="172">
        <f t="shared" si="81"/>
        <v>600</v>
      </c>
      <c r="M317" s="172">
        <f t="shared" si="81"/>
        <v>0</v>
      </c>
      <c r="N317" s="172">
        <f t="shared" si="81"/>
        <v>600</v>
      </c>
      <c r="O317" s="178">
        <f t="shared" si="72"/>
        <v>600</v>
      </c>
      <c r="P317" s="92">
        <f t="shared" si="73"/>
        <v>0</v>
      </c>
    </row>
    <row r="318" spans="1:16" ht="31.5" x14ac:dyDescent="0.2">
      <c r="A318" s="49"/>
      <c r="B318" s="190" t="s">
        <v>323</v>
      </c>
      <c r="C318" s="191" t="s">
        <v>324</v>
      </c>
      <c r="D318" s="192" t="s">
        <v>26</v>
      </c>
      <c r="E318" s="193"/>
      <c r="F318" s="194">
        <f t="shared" ref="F318:N320" si="82">F319</f>
        <v>150</v>
      </c>
      <c r="G318" s="194">
        <f t="shared" si="82"/>
        <v>0</v>
      </c>
      <c r="H318" s="194">
        <f t="shared" si="82"/>
        <v>150</v>
      </c>
      <c r="I318" s="195">
        <f t="shared" si="82"/>
        <v>0</v>
      </c>
      <c r="J318" s="194">
        <f>J319</f>
        <v>0</v>
      </c>
      <c r="K318" s="195">
        <f t="shared" si="82"/>
        <v>0</v>
      </c>
      <c r="L318" s="194">
        <f t="shared" si="82"/>
        <v>150</v>
      </c>
      <c r="M318" s="194">
        <f t="shared" si="82"/>
        <v>0</v>
      </c>
      <c r="N318" s="194">
        <f t="shared" si="82"/>
        <v>150</v>
      </c>
      <c r="O318" s="178">
        <f t="shared" si="72"/>
        <v>150</v>
      </c>
      <c r="P318" s="92">
        <f t="shared" si="73"/>
        <v>0</v>
      </c>
    </row>
    <row r="319" spans="1:16" ht="47.25" x14ac:dyDescent="0.2">
      <c r="A319" s="42"/>
      <c r="B319" s="168" t="s">
        <v>325</v>
      </c>
      <c r="C319" s="169" t="s">
        <v>326</v>
      </c>
      <c r="D319" s="170" t="s">
        <v>26</v>
      </c>
      <c r="E319" s="171"/>
      <c r="F319" s="172">
        <f t="shared" si="82"/>
        <v>150</v>
      </c>
      <c r="G319" s="172">
        <f t="shared" si="82"/>
        <v>0</v>
      </c>
      <c r="H319" s="172">
        <f t="shared" si="82"/>
        <v>150</v>
      </c>
      <c r="I319" s="188">
        <f t="shared" si="82"/>
        <v>0</v>
      </c>
      <c r="J319" s="189"/>
      <c r="K319" s="188">
        <f t="shared" si="82"/>
        <v>0</v>
      </c>
      <c r="L319" s="172">
        <f t="shared" si="82"/>
        <v>150</v>
      </c>
      <c r="M319" s="172">
        <f t="shared" si="82"/>
        <v>0</v>
      </c>
      <c r="N319" s="172">
        <f t="shared" si="82"/>
        <v>150</v>
      </c>
      <c r="O319" s="178">
        <f t="shared" si="72"/>
        <v>150</v>
      </c>
      <c r="P319" s="92">
        <f t="shared" si="73"/>
        <v>0</v>
      </c>
    </row>
    <row r="320" spans="1:16" ht="33" customHeight="1" x14ac:dyDescent="0.2">
      <c r="A320" s="42"/>
      <c r="B320" s="168" t="s">
        <v>327</v>
      </c>
      <c r="C320" s="169" t="s">
        <v>328</v>
      </c>
      <c r="D320" s="170" t="s">
        <v>26</v>
      </c>
      <c r="E320" s="171"/>
      <c r="F320" s="172">
        <f t="shared" si="82"/>
        <v>150</v>
      </c>
      <c r="G320" s="172">
        <f t="shared" si="82"/>
        <v>0</v>
      </c>
      <c r="H320" s="172">
        <f t="shared" si="82"/>
        <v>150</v>
      </c>
      <c r="I320" s="188">
        <f t="shared" si="82"/>
        <v>0</v>
      </c>
      <c r="J320" s="189"/>
      <c r="K320" s="188">
        <f t="shared" si="82"/>
        <v>0</v>
      </c>
      <c r="L320" s="172">
        <f t="shared" si="82"/>
        <v>150</v>
      </c>
      <c r="M320" s="172">
        <f t="shared" si="82"/>
        <v>0</v>
      </c>
      <c r="N320" s="172">
        <f t="shared" si="82"/>
        <v>150</v>
      </c>
      <c r="O320" s="178">
        <f t="shared" si="72"/>
        <v>150</v>
      </c>
      <c r="P320" s="92">
        <f t="shared" si="73"/>
        <v>0</v>
      </c>
    </row>
    <row r="321" spans="1:16" ht="31.5" x14ac:dyDescent="0.2">
      <c r="A321" s="42"/>
      <c r="B321" s="168" t="s">
        <v>35</v>
      </c>
      <c r="C321" s="169" t="s">
        <v>328</v>
      </c>
      <c r="D321" s="170" t="s">
        <v>36</v>
      </c>
      <c r="E321" s="171"/>
      <c r="F321" s="172">
        <v>150</v>
      </c>
      <c r="G321" s="172"/>
      <c r="H321" s="172">
        <v>150</v>
      </c>
      <c r="I321" s="188">
        <v>0</v>
      </c>
      <c r="J321" s="189"/>
      <c r="K321" s="188">
        <v>0</v>
      </c>
      <c r="L321" s="172">
        <v>150</v>
      </c>
      <c r="M321" s="172"/>
      <c r="N321" s="172">
        <v>150</v>
      </c>
      <c r="O321" s="178">
        <f t="shared" si="72"/>
        <v>150</v>
      </c>
      <c r="P321" s="92">
        <f t="shared" si="73"/>
        <v>0</v>
      </c>
    </row>
    <row r="322" spans="1:16" ht="18.75" hidden="1" x14ac:dyDescent="0.2">
      <c r="A322" s="42"/>
      <c r="B322" s="168"/>
      <c r="C322" s="169"/>
      <c r="D322" s="170"/>
      <c r="E322" s="171"/>
      <c r="F322" s="172"/>
      <c r="G322" s="172"/>
      <c r="H322" s="172"/>
      <c r="I322" s="188"/>
      <c r="J322" s="189"/>
      <c r="K322" s="189"/>
      <c r="L322" s="172"/>
      <c r="M322" s="172"/>
      <c r="N322" s="172"/>
      <c r="O322" s="178">
        <f t="shared" si="72"/>
        <v>0</v>
      </c>
      <c r="P322" s="92">
        <f t="shared" si="73"/>
        <v>0</v>
      </c>
    </row>
    <row r="323" spans="1:16" ht="31.5" x14ac:dyDescent="0.2">
      <c r="A323" s="49"/>
      <c r="B323" s="190" t="s">
        <v>329</v>
      </c>
      <c r="C323" s="191" t="s">
        <v>330</v>
      </c>
      <c r="D323" s="192" t="s">
        <v>26</v>
      </c>
      <c r="E323" s="193"/>
      <c r="F323" s="194">
        <f t="shared" ref="F323:N324" si="83">F324</f>
        <v>5110</v>
      </c>
      <c r="G323" s="194">
        <f t="shared" si="83"/>
        <v>0</v>
      </c>
      <c r="H323" s="194">
        <f t="shared" si="83"/>
        <v>5110</v>
      </c>
      <c r="I323" s="195">
        <f>I324+I328</f>
        <v>100</v>
      </c>
      <c r="J323" s="194">
        <f>SUM(J328)</f>
        <v>0</v>
      </c>
      <c r="K323" s="194">
        <f>SUM(K328)</f>
        <v>100</v>
      </c>
      <c r="L323" s="194">
        <f>L324+I323</f>
        <v>5210</v>
      </c>
      <c r="M323" s="194">
        <f>M324+M328</f>
        <v>0</v>
      </c>
      <c r="N323" s="194">
        <f>N324+K323</f>
        <v>5210</v>
      </c>
      <c r="O323" s="178">
        <f t="shared" si="72"/>
        <v>5210</v>
      </c>
      <c r="P323" s="92">
        <f t="shared" si="73"/>
        <v>0</v>
      </c>
    </row>
    <row r="324" spans="1:16" ht="96" customHeight="1" x14ac:dyDescent="0.2">
      <c r="A324" s="42"/>
      <c r="B324" s="214" t="s">
        <v>331</v>
      </c>
      <c r="C324" s="169" t="s">
        <v>332</v>
      </c>
      <c r="D324" s="170" t="s">
        <v>26</v>
      </c>
      <c r="E324" s="171"/>
      <c r="F324" s="172">
        <f t="shared" si="83"/>
        <v>5110</v>
      </c>
      <c r="G324" s="172">
        <f t="shared" si="83"/>
        <v>0</v>
      </c>
      <c r="H324" s="172">
        <f t="shared" si="83"/>
        <v>5110</v>
      </c>
      <c r="I324" s="188">
        <f t="shared" si="83"/>
        <v>0</v>
      </c>
      <c r="J324" s="189"/>
      <c r="K324" s="188">
        <f t="shared" si="83"/>
        <v>0</v>
      </c>
      <c r="L324" s="172">
        <f t="shared" si="83"/>
        <v>5110</v>
      </c>
      <c r="M324" s="172">
        <f t="shared" si="83"/>
        <v>0</v>
      </c>
      <c r="N324" s="172">
        <f t="shared" si="83"/>
        <v>5110</v>
      </c>
      <c r="O324" s="178">
        <f t="shared" si="72"/>
        <v>5110</v>
      </c>
      <c r="P324" s="92">
        <f t="shared" si="73"/>
        <v>0</v>
      </c>
    </row>
    <row r="325" spans="1:16" ht="31.5" x14ac:dyDescent="0.2">
      <c r="A325" s="42"/>
      <c r="B325" s="168" t="s">
        <v>333</v>
      </c>
      <c r="C325" s="169" t="s">
        <v>334</v>
      </c>
      <c r="D325" s="170" t="s">
        <v>26</v>
      </c>
      <c r="E325" s="171"/>
      <c r="F325" s="172">
        <f>F326+F327</f>
        <v>5110</v>
      </c>
      <c r="G325" s="172">
        <f>G326+G327</f>
        <v>0</v>
      </c>
      <c r="H325" s="172">
        <f>H326+H327</f>
        <v>5110</v>
      </c>
      <c r="I325" s="188">
        <f>I326+I327</f>
        <v>0</v>
      </c>
      <c r="J325" s="189"/>
      <c r="K325" s="188">
        <f>K326+K327</f>
        <v>0</v>
      </c>
      <c r="L325" s="172">
        <f>L326+L327</f>
        <v>5110</v>
      </c>
      <c r="M325" s="172">
        <f>M326+M327</f>
        <v>0</v>
      </c>
      <c r="N325" s="172">
        <f>SUM(H325)</f>
        <v>5110</v>
      </c>
      <c r="O325" s="178">
        <f t="shared" si="72"/>
        <v>5110</v>
      </c>
      <c r="P325" s="92">
        <f t="shared" si="73"/>
        <v>0</v>
      </c>
    </row>
    <row r="326" spans="1:16" ht="31.5" x14ac:dyDescent="0.2">
      <c r="A326" s="42"/>
      <c r="B326" s="168" t="s">
        <v>35</v>
      </c>
      <c r="C326" s="169" t="s">
        <v>334</v>
      </c>
      <c r="D326" s="170" t="s">
        <v>36</v>
      </c>
      <c r="E326" s="171"/>
      <c r="F326" s="172">
        <v>5046.8</v>
      </c>
      <c r="G326" s="172"/>
      <c r="H326" s="172">
        <f>SUM(F326:G326)</f>
        <v>5046.8</v>
      </c>
      <c r="I326" s="188">
        <v>0</v>
      </c>
      <c r="J326" s="189"/>
      <c r="K326" s="188">
        <v>0</v>
      </c>
      <c r="L326" s="172">
        <f>SUM(F326)</f>
        <v>5046.8</v>
      </c>
      <c r="M326" s="172">
        <f>SUM(G326)</f>
        <v>0</v>
      </c>
      <c r="N326" s="172">
        <f>SUM(L326:M326)</f>
        <v>5046.8</v>
      </c>
      <c r="O326" s="178">
        <f t="shared" si="72"/>
        <v>5046.8</v>
      </c>
      <c r="P326" s="92">
        <f t="shared" si="73"/>
        <v>0</v>
      </c>
    </row>
    <row r="327" spans="1:16" ht="18.75" x14ac:dyDescent="0.2">
      <c r="A327" s="42"/>
      <c r="B327" s="168" t="s">
        <v>41</v>
      </c>
      <c r="C327" s="169" t="s">
        <v>334</v>
      </c>
      <c r="D327" s="170" t="s">
        <v>42</v>
      </c>
      <c r="E327" s="171"/>
      <c r="F327" s="172">
        <v>63.2</v>
      </c>
      <c r="G327" s="172"/>
      <c r="H327" s="172">
        <v>63.2</v>
      </c>
      <c r="I327" s="188">
        <v>0</v>
      </c>
      <c r="J327" s="189"/>
      <c r="K327" s="188">
        <v>0</v>
      </c>
      <c r="L327" s="172">
        <v>63.2</v>
      </c>
      <c r="M327" s="172"/>
      <c r="N327" s="172">
        <v>63.2</v>
      </c>
      <c r="O327" s="178">
        <f t="shared" si="72"/>
        <v>63.2</v>
      </c>
      <c r="P327" s="92">
        <f t="shared" si="73"/>
        <v>0</v>
      </c>
    </row>
    <row r="328" spans="1:16" ht="47.25" x14ac:dyDescent="0.2">
      <c r="A328" s="42"/>
      <c r="B328" s="168" t="s">
        <v>465</v>
      </c>
      <c r="C328" s="169" t="s">
        <v>463</v>
      </c>
      <c r="D328" s="170"/>
      <c r="E328" s="171"/>
      <c r="F328" s="172"/>
      <c r="G328" s="172"/>
      <c r="H328" s="172"/>
      <c r="I328" s="188">
        <f>SUM(I329)</f>
        <v>100</v>
      </c>
      <c r="J328" s="189">
        <f>SUM(J329)</f>
        <v>0</v>
      </c>
      <c r="K328" s="189">
        <f>SUM(K329)</f>
        <v>100</v>
      </c>
      <c r="L328" s="172">
        <f t="shared" ref="L328:N329" si="84">SUM(I328)</f>
        <v>100</v>
      </c>
      <c r="M328" s="172">
        <f t="shared" si="84"/>
        <v>0</v>
      </c>
      <c r="N328" s="172">
        <f t="shared" si="84"/>
        <v>100</v>
      </c>
      <c r="O328" s="178">
        <f t="shared" si="72"/>
        <v>100</v>
      </c>
      <c r="P328" s="92">
        <f t="shared" si="73"/>
        <v>0</v>
      </c>
    </row>
    <row r="329" spans="1:16" ht="31.5" x14ac:dyDescent="0.2">
      <c r="A329" s="42"/>
      <c r="B329" s="168" t="s">
        <v>35</v>
      </c>
      <c r="C329" s="169" t="s">
        <v>464</v>
      </c>
      <c r="D329" s="170" t="s">
        <v>36</v>
      </c>
      <c r="E329" s="171"/>
      <c r="F329" s="172"/>
      <c r="G329" s="172"/>
      <c r="H329" s="172"/>
      <c r="I329" s="188">
        <v>100</v>
      </c>
      <c r="J329" s="189"/>
      <c r="K329" s="188">
        <v>100</v>
      </c>
      <c r="L329" s="172">
        <f t="shared" si="84"/>
        <v>100</v>
      </c>
      <c r="M329" s="172">
        <f t="shared" si="84"/>
        <v>0</v>
      </c>
      <c r="N329" s="172">
        <f t="shared" si="84"/>
        <v>100</v>
      </c>
      <c r="O329" s="178">
        <f t="shared" si="72"/>
        <v>100</v>
      </c>
      <c r="P329" s="92">
        <f t="shared" si="73"/>
        <v>0</v>
      </c>
    </row>
    <row r="330" spans="1:16" ht="31.5" x14ac:dyDescent="0.2">
      <c r="A330" s="19" t="s">
        <v>335</v>
      </c>
      <c r="B330" s="182" t="s">
        <v>336</v>
      </c>
      <c r="C330" s="183" t="s">
        <v>337</v>
      </c>
      <c r="D330" s="184" t="s">
        <v>26</v>
      </c>
      <c r="E330" s="185"/>
      <c r="F330" s="186">
        <f>F331+F341+F338</f>
        <v>43668.800000000003</v>
      </c>
      <c r="G330" s="186">
        <f>G331+G341+G338</f>
        <v>0</v>
      </c>
      <c r="H330" s="186">
        <f>H331+H341+H338</f>
        <v>43668.800000000003</v>
      </c>
      <c r="I330" s="187">
        <f>I331+I341</f>
        <v>106001.5</v>
      </c>
      <c r="J330" s="186">
        <f>J331+J341</f>
        <v>0</v>
      </c>
      <c r="K330" s="187">
        <f>K331+K341</f>
        <v>106001.5</v>
      </c>
      <c r="L330" s="186">
        <f>L331+L341+L338</f>
        <v>149670.29999999999</v>
      </c>
      <c r="M330" s="186">
        <f>SUM(J330)+G330</f>
        <v>0</v>
      </c>
      <c r="N330" s="186">
        <f>N331+N341+N338</f>
        <v>149670.29999999999</v>
      </c>
      <c r="O330" s="178">
        <f t="shared" si="72"/>
        <v>149670.29999999999</v>
      </c>
      <c r="P330" s="92">
        <f t="shared" si="73"/>
        <v>0</v>
      </c>
    </row>
    <row r="331" spans="1:16" ht="18.75" x14ac:dyDescent="0.2">
      <c r="A331" s="49"/>
      <c r="B331" s="190" t="s">
        <v>338</v>
      </c>
      <c r="C331" s="191" t="s">
        <v>339</v>
      </c>
      <c r="D331" s="192" t="s">
        <v>26</v>
      </c>
      <c r="E331" s="193"/>
      <c r="F331" s="194">
        <f t="shared" ref="F331:N331" si="85">F332</f>
        <v>27047.800000000003</v>
      </c>
      <c r="G331" s="194">
        <f t="shared" si="85"/>
        <v>0</v>
      </c>
      <c r="H331" s="194">
        <f t="shared" si="85"/>
        <v>27047.8</v>
      </c>
      <c r="I331" s="195">
        <f t="shared" si="85"/>
        <v>101001.5</v>
      </c>
      <c r="J331" s="194">
        <f t="shared" si="85"/>
        <v>0</v>
      </c>
      <c r="K331" s="195">
        <f t="shared" si="85"/>
        <v>101001.5</v>
      </c>
      <c r="L331" s="194">
        <f t="shared" si="85"/>
        <v>128049.3</v>
      </c>
      <c r="M331" s="194">
        <f t="shared" si="85"/>
        <v>0</v>
      </c>
      <c r="N331" s="194">
        <f t="shared" si="85"/>
        <v>128049.29999999999</v>
      </c>
      <c r="O331" s="178">
        <f t="shared" si="72"/>
        <v>128049.3</v>
      </c>
      <c r="P331" s="92">
        <f t="shared" si="73"/>
        <v>0</v>
      </c>
    </row>
    <row r="332" spans="1:16" ht="47.25" x14ac:dyDescent="0.2">
      <c r="A332" s="42"/>
      <c r="B332" s="168" t="s">
        <v>340</v>
      </c>
      <c r="C332" s="169" t="s">
        <v>341</v>
      </c>
      <c r="D332" s="170" t="s">
        <v>26</v>
      </c>
      <c r="E332" s="171"/>
      <c r="F332" s="172">
        <f>F333+F336</f>
        <v>27047.800000000003</v>
      </c>
      <c r="G332" s="172">
        <f>G333+G336</f>
        <v>0</v>
      </c>
      <c r="H332" s="172">
        <f>H333+H336</f>
        <v>27047.8</v>
      </c>
      <c r="I332" s="188">
        <f>I333+I336</f>
        <v>101001.5</v>
      </c>
      <c r="J332" s="189">
        <f>SUM(J336)</f>
        <v>0</v>
      </c>
      <c r="K332" s="188">
        <f>K333+K336</f>
        <v>101001.5</v>
      </c>
      <c r="L332" s="172">
        <f>L333+L336</f>
        <v>128049.3</v>
      </c>
      <c r="M332" s="172">
        <f>M333+M336</f>
        <v>0</v>
      </c>
      <c r="N332" s="172">
        <f>N333+N336</f>
        <v>128049.29999999999</v>
      </c>
      <c r="O332" s="178">
        <f t="shared" si="72"/>
        <v>128049.3</v>
      </c>
      <c r="P332" s="92">
        <f t="shared" si="73"/>
        <v>0</v>
      </c>
    </row>
    <row r="333" spans="1:16" ht="36" customHeight="1" x14ac:dyDescent="0.2">
      <c r="A333" s="42"/>
      <c r="B333" s="168" t="s">
        <v>342</v>
      </c>
      <c r="C333" s="169" t="s">
        <v>343</v>
      </c>
      <c r="D333" s="170" t="s">
        <v>26</v>
      </c>
      <c r="E333" s="171"/>
      <c r="F333" s="172">
        <f>F334+F335</f>
        <v>10605.6</v>
      </c>
      <c r="G333" s="172">
        <f>G334+G335</f>
        <v>0</v>
      </c>
      <c r="H333" s="172">
        <f>H334+H335</f>
        <v>10605.599999999999</v>
      </c>
      <c r="I333" s="188">
        <f>I334+I335</f>
        <v>0</v>
      </c>
      <c r="J333" s="189"/>
      <c r="K333" s="188">
        <f>K334+K335</f>
        <v>0</v>
      </c>
      <c r="L333" s="172">
        <f>L334+L335</f>
        <v>10605.6</v>
      </c>
      <c r="M333" s="172">
        <f>M334+M335</f>
        <v>0</v>
      </c>
      <c r="N333" s="172">
        <f>N334+N335</f>
        <v>10605.599999999999</v>
      </c>
      <c r="O333" s="178">
        <f t="shared" si="72"/>
        <v>10605.6</v>
      </c>
      <c r="P333" s="92">
        <f t="shared" si="73"/>
        <v>0</v>
      </c>
    </row>
    <row r="334" spans="1:16" ht="31.5" x14ac:dyDescent="0.2">
      <c r="A334" s="42"/>
      <c r="B334" s="168" t="s">
        <v>35</v>
      </c>
      <c r="C334" s="169" t="s">
        <v>343</v>
      </c>
      <c r="D334" s="170" t="s">
        <v>36</v>
      </c>
      <c r="E334" s="171"/>
      <c r="F334" s="172">
        <v>3240</v>
      </c>
      <c r="G334" s="172">
        <v>-1026.3</v>
      </c>
      <c r="H334" s="172">
        <f>F334+G334</f>
        <v>2213.6999999999998</v>
      </c>
      <c r="I334" s="188">
        <v>0</v>
      </c>
      <c r="J334" s="189"/>
      <c r="K334" s="188">
        <v>0</v>
      </c>
      <c r="L334" s="172">
        <f t="shared" ref="L334:N335" si="86">SUM(F334)</f>
        <v>3240</v>
      </c>
      <c r="M334" s="172">
        <f t="shared" si="86"/>
        <v>-1026.3</v>
      </c>
      <c r="N334" s="172">
        <f t="shared" si="86"/>
        <v>2213.6999999999998</v>
      </c>
      <c r="O334" s="178">
        <f t="shared" si="72"/>
        <v>2213.6999999999998</v>
      </c>
      <c r="P334" s="92">
        <f t="shared" si="73"/>
        <v>0</v>
      </c>
    </row>
    <row r="335" spans="1:16" ht="31.5" x14ac:dyDescent="0.2">
      <c r="A335" s="42"/>
      <c r="B335" s="168" t="s">
        <v>131</v>
      </c>
      <c r="C335" s="169" t="s">
        <v>343</v>
      </c>
      <c r="D335" s="170" t="s">
        <v>132</v>
      </c>
      <c r="E335" s="171"/>
      <c r="F335" s="172">
        <v>7365.6</v>
      </c>
      <c r="G335" s="172">
        <v>1026.3</v>
      </c>
      <c r="H335" s="172">
        <f>SUM(F335)+G335</f>
        <v>8391.9</v>
      </c>
      <c r="I335" s="188">
        <v>0</v>
      </c>
      <c r="J335" s="189"/>
      <c r="K335" s="188">
        <v>0</v>
      </c>
      <c r="L335" s="172">
        <f>SUM(F335)</f>
        <v>7365.6</v>
      </c>
      <c r="M335" s="172">
        <f t="shared" si="86"/>
        <v>1026.3</v>
      </c>
      <c r="N335" s="172">
        <f>SUM(H335)</f>
        <v>8391.9</v>
      </c>
      <c r="O335" s="178">
        <f t="shared" si="72"/>
        <v>8391.9</v>
      </c>
      <c r="P335" s="92">
        <f t="shared" si="73"/>
        <v>0</v>
      </c>
    </row>
    <row r="336" spans="1:16" ht="18.75" x14ac:dyDescent="0.2">
      <c r="A336" s="42"/>
      <c r="B336" s="168" t="s">
        <v>344</v>
      </c>
      <c r="C336" s="169" t="s">
        <v>345</v>
      </c>
      <c r="D336" s="170" t="s">
        <v>26</v>
      </c>
      <c r="E336" s="171"/>
      <c r="F336" s="172">
        <f>F337</f>
        <v>16442.2</v>
      </c>
      <c r="G336" s="254">
        <f>G337</f>
        <v>0</v>
      </c>
      <c r="H336" s="172">
        <f>H337</f>
        <v>16442.2</v>
      </c>
      <c r="I336" s="188">
        <f>I337</f>
        <v>101001.5</v>
      </c>
      <c r="J336" s="189"/>
      <c r="K336" s="188">
        <f>K337</f>
        <v>101001.5</v>
      </c>
      <c r="L336" s="172">
        <f>L337</f>
        <v>117443.7</v>
      </c>
      <c r="M336" s="172">
        <f>M337</f>
        <v>0</v>
      </c>
      <c r="N336" s="172">
        <f>N337</f>
        <v>117443.7</v>
      </c>
      <c r="O336" s="178">
        <f t="shared" si="72"/>
        <v>117443.7</v>
      </c>
      <c r="P336" s="92">
        <f t="shared" si="73"/>
        <v>0</v>
      </c>
    </row>
    <row r="337" spans="1:17" ht="31.5" x14ac:dyDescent="0.2">
      <c r="A337" s="42"/>
      <c r="B337" s="168" t="s">
        <v>131</v>
      </c>
      <c r="C337" s="169" t="s">
        <v>345</v>
      </c>
      <c r="D337" s="170" t="s">
        <v>132</v>
      </c>
      <c r="E337" s="171"/>
      <c r="F337" s="172">
        <v>16442.2</v>
      </c>
      <c r="G337" s="172"/>
      <c r="H337" s="172">
        <f>SUM(F337)+G337</f>
        <v>16442.2</v>
      </c>
      <c r="I337" s="188">
        <v>101001.5</v>
      </c>
      <c r="J337" s="189"/>
      <c r="K337" s="188">
        <f>SUM(I337)+J337</f>
        <v>101001.5</v>
      </c>
      <c r="L337" s="172">
        <f>SUM(F337)+I337</f>
        <v>117443.7</v>
      </c>
      <c r="M337" s="172">
        <f>SUM(G337)+J337</f>
        <v>0</v>
      </c>
      <c r="N337" s="172">
        <f>SUM(H337)+K337</f>
        <v>117443.7</v>
      </c>
      <c r="O337" s="178">
        <f t="shared" si="72"/>
        <v>117443.7</v>
      </c>
      <c r="P337" s="92">
        <f t="shared" si="73"/>
        <v>0</v>
      </c>
    </row>
    <row r="338" spans="1:17" ht="18.75" x14ac:dyDescent="0.2">
      <c r="A338" s="42"/>
      <c r="B338" s="168" t="s">
        <v>346</v>
      </c>
      <c r="C338" s="169" t="s">
        <v>347</v>
      </c>
      <c r="D338" s="170"/>
      <c r="E338" s="171"/>
      <c r="F338" s="172">
        <v>0</v>
      </c>
      <c r="G338" s="172">
        <f>SUM(G340)</f>
        <v>0</v>
      </c>
      <c r="H338" s="172">
        <f>SUM(F338:G338)</f>
        <v>0</v>
      </c>
      <c r="I338" s="188"/>
      <c r="J338" s="189"/>
      <c r="K338" s="188"/>
      <c r="L338" s="172">
        <f>SUM(F338)</f>
        <v>0</v>
      </c>
      <c r="M338" s="172">
        <f>SUM(G338)</f>
        <v>0</v>
      </c>
      <c r="N338" s="172">
        <f>SUM(H338)</f>
        <v>0</v>
      </c>
      <c r="O338" s="178">
        <f t="shared" si="72"/>
        <v>0</v>
      </c>
      <c r="P338" s="92">
        <f t="shared" si="73"/>
        <v>0</v>
      </c>
    </row>
    <row r="339" spans="1:17" ht="1.5" customHeight="1" x14ac:dyDescent="0.2">
      <c r="A339" s="42"/>
      <c r="B339" s="168"/>
      <c r="C339" s="169"/>
      <c r="D339" s="170"/>
      <c r="E339" s="171"/>
      <c r="F339" s="172"/>
      <c r="G339" s="172">
        <f>SUM(G340)</f>
        <v>0</v>
      </c>
      <c r="H339" s="172">
        <f>SUM(G339)</f>
        <v>0</v>
      </c>
      <c r="I339" s="188"/>
      <c r="J339" s="189"/>
      <c r="K339" s="188"/>
      <c r="L339" s="172"/>
      <c r="M339" s="172">
        <f>SUM(G339)</f>
        <v>0</v>
      </c>
      <c r="N339" s="172">
        <f>SUM(M339)</f>
        <v>0</v>
      </c>
      <c r="O339" s="178">
        <f t="shared" si="72"/>
        <v>0</v>
      </c>
      <c r="P339" s="92">
        <f t="shared" si="73"/>
        <v>0</v>
      </c>
    </row>
    <row r="340" spans="1:17" ht="31.5" x14ac:dyDescent="0.2">
      <c r="A340" s="42"/>
      <c r="B340" s="168" t="s">
        <v>131</v>
      </c>
      <c r="C340" s="169" t="s">
        <v>347</v>
      </c>
      <c r="D340" s="170" t="s">
        <v>132</v>
      </c>
      <c r="E340" s="171"/>
      <c r="F340" s="172">
        <v>0</v>
      </c>
      <c r="G340" s="172"/>
      <c r="H340" s="172">
        <f>SUM(F340:G340)</f>
        <v>0</v>
      </c>
      <c r="I340" s="188"/>
      <c r="J340" s="189"/>
      <c r="K340" s="188"/>
      <c r="L340" s="172">
        <f>SUM(F340)</f>
        <v>0</v>
      </c>
      <c r="M340" s="172">
        <f>SUM(G340)</f>
        <v>0</v>
      </c>
      <c r="N340" s="172">
        <f>SUM(H340)</f>
        <v>0</v>
      </c>
      <c r="O340" s="178">
        <f t="shared" si="72"/>
        <v>0</v>
      </c>
      <c r="P340" s="92">
        <f t="shared" si="73"/>
        <v>0</v>
      </c>
    </row>
    <row r="341" spans="1:17" ht="18.75" x14ac:dyDescent="0.2">
      <c r="A341" s="42"/>
      <c r="B341" s="190" t="s">
        <v>348</v>
      </c>
      <c r="C341" s="191" t="s">
        <v>349</v>
      </c>
      <c r="D341" s="192"/>
      <c r="E341" s="193"/>
      <c r="F341" s="194">
        <f>SUM(F343)</f>
        <v>16621</v>
      </c>
      <c r="G341" s="194">
        <f>SUM(G343)</f>
        <v>0</v>
      </c>
      <c r="H341" s="194">
        <f>SUM(H343)</f>
        <v>16621</v>
      </c>
      <c r="I341" s="188">
        <v>5000</v>
      </c>
      <c r="J341" s="194">
        <f>SUM(J343)</f>
        <v>0</v>
      </c>
      <c r="K341" s="189">
        <v>5000</v>
      </c>
      <c r="L341" s="194">
        <f>SUM(L343)+I341</f>
        <v>21621</v>
      </c>
      <c r="M341" s="194">
        <f>SUM(M343)</f>
        <v>0</v>
      </c>
      <c r="N341" s="172">
        <f>SUM(H341+K341)</f>
        <v>21621</v>
      </c>
      <c r="O341" s="178">
        <f t="shared" si="72"/>
        <v>21621</v>
      </c>
      <c r="P341" s="92">
        <f t="shared" si="73"/>
        <v>0</v>
      </c>
    </row>
    <row r="342" spans="1:17" ht="47.25" x14ac:dyDescent="0.2">
      <c r="A342" s="42"/>
      <c r="B342" s="168" t="s">
        <v>350</v>
      </c>
      <c r="C342" s="169" t="s">
        <v>351</v>
      </c>
      <c r="D342" s="170"/>
      <c r="E342" s="171"/>
      <c r="F342" s="172">
        <f>SUM(F343)</f>
        <v>16621</v>
      </c>
      <c r="G342" s="172">
        <f>SUM(G343)</f>
        <v>0</v>
      </c>
      <c r="H342" s="172">
        <f>SUM(H343)</f>
        <v>16621</v>
      </c>
      <c r="I342" s="188">
        <v>5000</v>
      </c>
      <c r="J342" s="189"/>
      <c r="K342" s="189">
        <v>5000</v>
      </c>
      <c r="L342" s="172">
        <f>SUM(L343)+I342</f>
        <v>21621</v>
      </c>
      <c r="M342" s="172">
        <f>SUM(M343)</f>
        <v>0</v>
      </c>
      <c r="N342" s="172">
        <f>SUM(N343)+K342</f>
        <v>21621</v>
      </c>
      <c r="O342" s="178">
        <f t="shared" si="72"/>
        <v>21621</v>
      </c>
      <c r="P342" s="92">
        <f t="shared" si="73"/>
        <v>0</v>
      </c>
    </row>
    <row r="343" spans="1:17" ht="18.75" x14ac:dyDescent="0.2">
      <c r="A343" s="42"/>
      <c r="B343" s="168" t="s">
        <v>348</v>
      </c>
      <c r="C343" s="169" t="s">
        <v>352</v>
      </c>
      <c r="D343" s="170"/>
      <c r="E343" s="171"/>
      <c r="F343" s="172">
        <f>F344+F345</f>
        <v>16621</v>
      </c>
      <c r="G343" s="172">
        <f>G344+G345</f>
        <v>0</v>
      </c>
      <c r="H343" s="172">
        <f>H344+H345</f>
        <v>16621</v>
      </c>
      <c r="I343" s="188"/>
      <c r="J343" s="189"/>
      <c r="K343" s="189"/>
      <c r="L343" s="172">
        <f>SUM(F343)+I343</f>
        <v>16621</v>
      </c>
      <c r="M343" s="172"/>
      <c r="N343" s="172">
        <f>SUM(H343)+K343</f>
        <v>16621</v>
      </c>
      <c r="O343" s="178">
        <f t="shared" ref="O343:O412" si="87">L343+M343</f>
        <v>16621</v>
      </c>
      <c r="P343" s="92">
        <f t="shared" ref="P343:P412" si="88">O343-N343</f>
        <v>0</v>
      </c>
    </row>
    <row r="344" spans="1:17" ht="31.5" x14ac:dyDescent="0.2">
      <c r="A344" s="42"/>
      <c r="B344" s="168" t="s">
        <v>35</v>
      </c>
      <c r="C344" s="169" t="s">
        <v>352</v>
      </c>
      <c r="D344" s="170" t="s">
        <v>36</v>
      </c>
      <c r="E344" s="171"/>
      <c r="F344" s="172">
        <v>15090.2</v>
      </c>
      <c r="G344" s="172"/>
      <c r="H344" s="172">
        <f>SUM(F344:G344)</f>
        <v>15090.2</v>
      </c>
      <c r="I344" s="188"/>
      <c r="J344" s="189"/>
      <c r="K344" s="188">
        <f>SUM(I344)</f>
        <v>0</v>
      </c>
      <c r="L344" s="172">
        <f>SUM(F344)+I344</f>
        <v>15090.2</v>
      </c>
      <c r="M344" s="172">
        <f>SUM(G344)</f>
        <v>0</v>
      </c>
      <c r="N344" s="172">
        <f>SUM(H344)+K344</f>
        <v>15090.2</v>
      </c>
      <c r="O344" s="178">
        <f t="shared" si="87"/>
        <v>15090.2</v>
      </c>
      <c r="P344" s="92">
        <f t="shared" si="88"/>
        <v>0</v>
      </c>
    </row>
    <row r="345" spans="1:17" ht="31.5" x14ac:dyDescent="0.2">
      <c r="A345" s="42"/>
      <c r="B345" s="168" t="s">
        <v>131</v>
      </c>
      <c r="C345" s="169" t="s">
        <v>352</v>
      </c>
      <c r="D345" s="170" t="s">
        <v>132</v>
      </c>
      <c r="E345" s="171"/>
      <c r="F345" s="172">
        <v>1530.8</v>
      </c>
      <c r="G345" s="172"/>
      <c r="H345" s="172">
        <v>1530.8</v>
      </c>
      <c r="I345" s="188"/>
      <c r="J345" s="189"/>
      <c r="K345" s="188"/>
      <c r="L345" s="172">
        <f>SUM(F345)</f>
        <v>1530.8</v>
      </c>
      <c r="M345" s="172">
        <f>SUM(G345)</f>
        <v>0</v>
      </c>
      <c r="N345" s="172">
        <f>SUM(H345)</f>
        <v>1530.8</v>
      </c>
      <c r="O345" s="178">
        <f t="shared" si="87"/>
        <v>1530.8</v>
      </c>
      <c r="P345" s="92">
        <f t="shared" si="88"/>
        <v>0</v>
      </c>
    </row>
    <row r="346" spans="1:17" ht="31.5" x14ac:dyDescent="0.2">
      <c r="A346" s="42"/>
      <c r="B346" s="168" t="s">
        <v>497</v>
      </c>
      <c r="C346" s="169" t="s">
        <v>496</v>
      </c>
      <c r="D346" s="170"/>
      <c r="E346" s="171"/>
      <c r="F346" s="172"/>
      <c r="G346" s="172"/>
      <c r="H346" s="172"/>
      <c r="I346" s="188">
        <v>5000</v>
      </c>
      <c r="J346" s="189"/>
      <c r="K346" s="188">
        <f>SUM(I346)</f>
        <v>5000</v>
      </c>
      <c r="L346" s="172">
        <f>SUM(I346)</f>
        <v>5000</v>
      </c>
      <c r="M346" s="172"/>
      <c r="N346" s="172">
        <f>SUM(K346)</f>
        <v>5000</v>
      </c>
      <c r="O346" s="178">
        <f t="shared" si="87"/>
        <v>5000</v>
      </c>
      <c r="P346" s="92">
        <f t="shared" si="88"/>
        <v>0</v>
      </c>
    </row>
    <row r="347" spans="1:17" ht="31.5" x14ac:dyDescent="0.2">
      <c r="A347" s="42"/>
      <c r="B347" s="168" t="s">
        <v>35</v>
      </c>
      <c r="C347" s="169" t="s">
        <v>496</v>
      </c>
      <c r="D347" s="170" t="s">
        <v>36</v>
      </c>
      <c r="E347" s="171"/>
      <c r="F347" s="172"/>
      <c r="G347" s="172"/>
      <c r="H347" s="172"/>
      <c r="I347" s="188">
        <v>5000</v>
      </c>
      <c r="J347" s="189"/>
      <c r="K347" s="188">
        <f>SUM(I347)</f>
        <v>5000</v>
      </c>
      <c r="L347" s="172">
        <f>SUM(I347)</f>
        <v>5000</v>
      </c>
      <c r="M347" s="172"/>
      <c r="N347" s="172">
        <f>SUM(K347)</f>
        <v>5000</v>
      </c>
      <c r="O347" s="178">
        <f t="shared" si="87"/>
        <v>5000</v>
      </c>
      <c r="P347" s="92">
        <f t="shared" si="88"/>
        <v>0</v>
      </c>
    </row>
    <row r="348" spans="1:17" ht="31.5" x14ac:dyDescent="0.2">
      <c r="A348" s="19" t="s">
        <v>353</v>
      </c>
      <c r="B348" s="182" t="s">
        <v>354</v>
      </c>
      <c r="C348" s="183" t="s">
        <v>355</v>
      </c>
      <c r="D348" s="184" t="s">
        <v>26</v>
      </c>
      <c r="E348" s="185"/>
      <c r="F348" s="186">
        <f t="shared" ref="F348:N348" si="89">F349+F362+F368</f>
        <v>81650.5</v>
      </c>
      <c r="G348" s="186">
        <f t="shared" si="89"/>
        <v>235.8</v>
      </c>
      <c r="H348" s="186">
        <f t="shared" si="89"/>
        <v>81886.299999999988</v>
      </c>
      <c r="I348" s="187">
        <f t="shared" si="89"/>
        <v>0</v>
      </c>
      <c r="J348" s="186">
        <f t="shared" si="89"/>
        <v>0</v>
      </c>
      <c r="K348" s="187">
        <f t="shared" si="89"/>
        <v>0</v>
      </c>
      <c r="L348" s="186">
        <f t="shared" si="89"/>
        <v>81650.5</v>
      </c>
      <c r="M348" s="186">
        <f t="shared" si="89"/>
        <v>235.8</v>
      </c>
      <c r="N348" s="186">
        <f t="shared" si="89"/>
        <v>81886.299999999988</v>
      </c>
      <c r="O348" s="178">
        <f t="shared" si="87"/>
        <v>81886.3</v>
      </c>
      <c r="P348" s="92">
        <f t="shared" si="88"/>
        <v>0</v>
      </c>
      <c r="Q348" s="25"/>
    </row>
    <row r="349" spans="1:17" ht="18.75" x14ac:dyDescent="0.2">
      <c r="A349" s="49"/>
      <c r="B349" s="190" t="s">
        <v>356</v>
      </c>
      <c r="C349" s="191" t="s">
        <v>357</v>
      </c>
      <c r="D349" s="192" t="s">
        <v>26</v>
      </c>
      <c r="E349" s="193"/>
      <c r="F349" s="194">
        <f t="shared" ref="F349:N349" si="90">F350+F355</f>
        <v>56266.3</v>
      </c>
      <c r="G349" s="194">
        <f t="shared" si="90"/>
        <v>235.8</v>
      </c>
      <c r="H349" s="194">
        <f t="shared" si="90"/>
        <v>56502.1</v>
      </c>
      <c r="I349" s="195">
        <f t="shared" si="90"/>
        <v>0</v>
      </c>
      <c r="J349" s="194">
        <f t="shared" si="90"/>
        <v>0</v>
      </c>
      <c r="K349" s="195">
        <f t="shared" si="90"/>
        <v>0</v>
      </c>
      <c r="L349" s="194">
        <f t="shared" si="90"/>
        <v>56266.3</v>
      </c>
      <c r="M349" s="194">
        <f t="shared" si="90"/>
        <v>235.8</v>
      </c>
      <c r="N349" s="194">
        <f t="shared" si="90"/>
        <v>56502.1</v>
      </c>
      <c r="O349" s="178">
        <f t="shared" si="87"/>
        <v>56502.100000000006</v>
      </c>
      <c r="P349" s="92">
        <f t="shared" si="88"/>
        <v>0</v>
      </c>
      <c r="Q349" s="55"/>
    </row>
    <row r="350" spans="1:17" ht="18.75" x14ac:dyDescent="0.2">
      <c r="A350" s="42"/>
      <c r="B350" s="168" t="s">
        <v>358</v>
      </c>
      <c r="C350" s="169" t="s">
        <v>359</v>
      </c>
      <c r="D350" s="170" t="s">
        <v>26</v>
      </c>
      <c r="E350" s="171"/>
      <c r="F350" s="172">
        <f>F351</f>
        <v>42575.5</v>
      </c>
      <c r="G350" s="172">
        <f>G351</f>
        <v>0</v>
      </c>
      <c r="H350" s="172">
        <f>H351</f>
        <v>42575.5</v>
      </c>
      <c r="I350" s="188">
        <f>I351</f>
        <v>0</v>
      </c>
      <c r="J350" s="189"/>
      <c r="K350" s="188">
        <f>K351</f>
        <v>0</v>
      </c>
      <c r="L350" s="172">
        <f>L351</f>
        <v>42575.5</v>
      </c>
      <c r="M350" s="172">
        <f>M351</f>
        <v>0</v>
      </c>
      <c r="N350" s="172">
        <f>N351</f>
        <v>42575.5</v>
      </c>
      <c r="O350" s="178">
        <f t="shared" si="87"/>
        <v>42575.5</v>
      </c>
      <c r="P350" s="92">
        <f t="shared" si="88"/>
        <v>0</v>
      </c>
    </row>
    <row r="351" spans="1:17" ht="31.5" x14ac:dyDescent="0.2">
      <c r="A351" s="42"/>
      <c r="B351" s="168" t="s">
        <v>39</v>
      </c>
      <c r="C351" s="169" t="s">
        <v>360</v>
      </c>
      <c r="D351" s="170" t="s">
        <v>26</v>
      </c>
      <c r="E351" s="171"/>
      <c r="F351" s="172">
        <f>F352+F353+F354</f>
        <v>42575.5</v>
      </c>
      <c r="G351" s="172">
        <f>G352+G353</f>
        <v>0</v>
      </c>
      <c r="H351" s="172">
        <f>H352+H353+H354</f>
        <v>42575.5</v>
      </c>
      <c r="I351" s="188">
        <f>I352+I353+I354</f>
        <v>0</v>
      </c>
      <c r="J351" s="189"/>
      <c r="K351" s="188">
        <f>K352+K353+K354</f>
        <v>0</v>
      </c>
      <c r="L351" s="172">
        <f>L352+L353+L354</f>
        <v>42575.5</v>
      </c>
      <c r="M351" s="172">
        <f>M352+M353+M354</f>
        <v>0</v>
      </c>
      <c r="N351" s="172">
        <f>N352+N353+N354</f>
        <v>42575.5</v>
      </c>
      <c r="O351" s="178">
        <f t="shared" si="87"/>
        <v>42575.5</v>
      </c>
      <c r="P351" s="92">
        <f t="shared" si="88"/>
        <v>0</v>
      </c>
    </row>
    <row r="352" spans="1:17" ht="64.150000000000006" customHeight="1" x14ac:dyDescent="0.2">
      <c r="A352" s="42"/>
      <c r="B352" s="168" t="s">
        <v>31</v>
      </c>
      <c r="C352" s="169" t="s">
        <v>360</v>
      </c>
      <c r="D352" s="170" t="s">
        <v>32</v>
      </c>
      <c r="E352" s="171"/>
      <c r="F352" s="172">
        <v>27844.5</v>
      </c>
      <c r="G352" s="172"/>
      <c r="H352" s="172">
        <f>SUM(F352)+G352</f>
        <v>27844.5</v>
      </c>
      <c r="I352" s="188">
        <v>0</v>
      </c>
      <c r="J352" s="189"/>
      <c r="K352" s="188">
        <v>0</v>
      </c>
      <c r="L352" s="172">
        <f t="shared" ref="L352:N353" si="91">SUM(F352)</f>
        <v>27844.5</v>
      </c>
      <c r="M352" s="172">
        <f t="shared" si="91"/>
        <v>0</v>
      </c>
      <c r="N352" s="172">
        <f t="shared" si="91"/>
        <v>27844.5</v>
      </c>
      <c r="O352" s="178">
        <f t="shared" si="87"/>
        <v>27844.5</v>
      </c>
      <c r="P352" s="92">
        <f t="shared" si="88"/>
        <v>0</v>
      </c>
    </row>
    <row r="353" spans="1:16" ht="31.5" x14ac:dyDescent="0.2">
      <c r="A353" s="42"/>
      <c r="B353" s="168" t="s">
        <v>35</v>
      </c>
      <c r="C353" s="169" t="s">
        <v>360</v>
      </c>
      <c r="D353" s="170" t="s">
        <v>36</v>
      </c>
      <c r="E353" s="171"/>
      <c r="F353" s="172">
        <v>14653.6</v>
      </c>
      <c r="G353" s="172"/>
      <c r="H353" s="172">
        <f>SUM(F353)+G353</f>
        <v>14653.6</v>
      </c>
      <c r="I353" s="188">
        <v>0</v>
      </c>
      <c r="J353" s="189"/>
      <c r="K353" s="188">
        <v>0</v>
      </c>
      <c r="L353" s="172">
        <f t="shared" si="91"/>
        <v>14653.6</v>
      </c>
      <c r="M353" s="172">
        <f>SUM(G353)</f>
        <v>0</v>
      </c>
      <c r="N353" s="172">
        <f t="shared" si="91"/>
        <v>14653.6</v>
      </c>
      <c r="O353" s="178">
        <f t="shared" si="87"/>
        <v>14653.6</v>
      </c>
      <c r="P353" s="92">
        <f t="shared" si="88"/>
        <v>0</v>
      </c>
    </row>
    <row r="354" spans="1:16" ht="18.75" x14ac:dyDescent="0.2">
      <c r="A354" s="42"/>
      <c r="B354" s="168" t="s">
        <v>41</v>
      </c>
      <c r="C354" s="169" t="s">
        <v>360</v>
      </c>
      <c r="D354" s="170" t="s">
        <v>42</v>
      </c>
      <c r="E354" s="171"/>
      <c r="F354" s="172">
        <v>77.400000000000006</v>
      </c>
      <c r="G354" s="172"/>
      <c r="H354" s="172">
        <v>77.400000000000006</v>
      </c>
      <c r="I354" s="188">
        <v>0</v>
      </c>
      <c r="J354" s="189"/>
      <c r="K354" s="188">
        <v>0</v>
      </c>
      <c r="L354" s="172">
        <v>77.400000000000006</v>
      </c>
      <c r="M354" s="172"/>
      <c r="N354" s="172">
        <v>77.400000000000006</v>
      </c>
      <c r="O354" s="178">
        <f t="shared" si="87"/>
        <v>77.400000000000006</v>
      </c>
      <c r="P354" s="92">
        <f t="shared" si="88"/>
        <v>0</v>
      </c>
    </row>
    <row r="355" spans="1:16" ht="31.5" x14ac:dyDescent="0.2">
      <c r="A355" s="42"/>
      <c r="B355" s="168" t="s">
        <v>361</v>
      </c>
      <c r="C355" s="169" t="s">
        <v>362</v>
      </c>
      <c r="D355" s="170" t="s">
        <v>26</v>
      </c>
      <c r="E355" s="171"/>
      <c r="F355" s="172">
        <f>F356+F359</f>
        <v>13690.8</v>
      </c>
      <c r="G355" s="172">
        <f>G356+G359</f>
        <v>235.8</v>
      </c>
      <c r="H355" s="172">
        <f>H356+H359</f>
        <v>13926.6</v>
      </c>
      <c r="I355" s="188">
        <f>I356+I359</f>
        <v>0</v>
      </c>
      <c r="J355" s="189"/>
      <c r="K355" s="188">
        <f>K356+K359</f>
        <v>0</v>
      </c>
      <c r="L355" s="172">
        <f>L356+L359</f>
        <v>13690.8</v>
      </c>
      <c r="M355" s="172">
        <f>M356+M359</f>
        <v>235.8</v>
      </c>
      <c r="N355" s="172">
        <f>N356+N359</f>
        <v>13926.6</v>
      </c>
      <c r="O355" s="178">
        <f t="shared" si="87"/>
        <v>13926.599999999999</v>
      </c>
      <c r="P355" s="92">
        <f t="shared" si="88"/>
        <v>0</v>
      </c>
    </row>
    <row r="356" spans="1:16" ht="31.5" x14ac:dyDescent="0.2">
      <c r="A356" s="42"/>
      <c r="B356" s="168" t="s">
        <v>39</v>
      </c>
      <c r="C356" s="169" t="s">
        <v>363</v>
      </c>
      <c r="D356" s="170" t="s">
        <v>26</v>
      </c>
      <c r="E356" s="171"/>
      <c r="F356" s="172">
        <f>F357+F358</f>
        <v>10245</v>
      </c>
      <c r="G356" s="172">
        <f>G357+G358</f>
        <v>0</v>
      </c>
      <c r="H356" s="172">
        <f>H357+H358</f>
        <v>10245</v>
      </c>
      <c r="I356" s="188">
        <f>I357+I358</f>
        <v>0</v>
      </c>
      <c r="J356" s="189"/>
      <c r="K356" s="188">
        <f>K357+K358</f>
        <v>0</v>
      </c>
      <c r="L356" s="172">
        <f>L357+L358</f>
        <v>10245</v>
      </c>
      <c r="M356" s="172">
        <f>M357+M358</f>
        <v>0</v>
      </c>
      <c r="N356" s="172">
        <f>N357+N358</f>
        <v>10245</v>
      </c>
      <c r="O356" s="178">
        <f t="shared" si="87"/>
        <v>10245</v>
      </c>
      <c r="P356" s="92">
        <f t="shared" si="88"/>
        <v>0</v>
      </c>
    </row>
    <row r="357" spans="1:16" ht="64.150000000000006" customHeight="1" x14ac:dyDescent="0.2">
      <c r="A357" s="42"/>
      <c r="B357" s="168" t="s">
        <v>31</v>
      </c>
      <c r="C357" s="169" t="s">
        <v>363</v>
      </c>
      <c r="D357" s="170" t="s">
        <v>32</v>
      </c>
      <c r="E357" s="171"/>
      <c r="F357" s="172">
        <v>9545</v>
      </c>
      <c r="G357" s="172"/>
      <c r="H357" s="172">
        <f>SUM(F357)</f>
        <v>9545</v>
      </c>
      <c r="I357" s="188">
        <v>0</v>
      </c>
      <c r="J357" s="189"/>
      <c r="K357" s="188">
        <v>0</v>
      </c>
      <c r="L357" s="172">
        <f>SUM(F357)</f>
        <v>9545</v>
      </c>
      <c r="M357" s="172">
        <f>SUM(G357)</f>
        <v>0</v>
      </c>
      <c r="N357" s="172">
        <f>SUM(H357)</f>
        <v>9545</v>
      </c>
      <c r="O357" s="178">
        <f t="shared" si="87"/>
        <v>9545</v>
      </c>
      <c r="P357" s="92">
        <f t="shared" si="88"/>
        <v>0</v>
      </c>
    </row>
    <row r="358" spans="1:16" ht="31.5" x14ac:dyDescent="0.2">
      <c r="A358" s="42"/>
      <c r="B358" s="168" t="s">
        <v>35</v>
      </c>
      <c r="C358" s="169" t="s">
        <v>363</v>
      </c>
      <c r="D358" s="170" t="s">
        <v>36</v>
      </c>
      <c r="E358" s="171"/>
      <c r="F358" s="172">
        <v>700</v>
      </c>
      <c r="G358" s="172"/>
      <c r="H358" s="172">
        <v>700</v>
      </c>
      <c r="I358" s="188">
        <v>0</v>
      </c>
      <c r="J358" s="189"/>
      <c r="K358" s="188">
        <v>0</v>
      </c>
      <c r="L358" s="172">
        <v>700</v>
      </c>
      <c r="M358" s="172"/>
      <c r="N358" s="172">
        <v>700</v>
      </c>
      <c r="O358" s="178">
        <f t="shared" si="87"/>
        <v>700</v>
      </c>
      <c r="P358" s="92">
        <f t="shared" si="88"/>
        <v>0</v>
      </c>
    </row>
    <row r="359" spans="1:16" ht="31.5" x14ac:dyDescent="0.2">
      <c r="A359" s="42"/>
      <c r="B359" s="168" t="s">
        <v>364</v>
      </c>
      <c r="C359" s="169" t="s">
        <v>365</v>
      </c>
      <c r="D359" s="170" t="s">
        <v>26</v>
      </c>
      <c r="E359" s="171"/>
      <c r="F359" s="172">
        <f>F360+F361</f>
        <v>3445.8</v>
      </c>
      <c r="G359" s="172">
        <f>SUM(G360)+G361</f>
        <v>235.8</v>
      </c>
      <c r="H359" s="172">
        <f>H360+H361</f>
        <v>3681.6000000000004</v>
      </c>
      <c r="I359" s="188">
        <f>I360+I361</f>
        <v>0</v>
      </c>
      <c r="J359" s="189"/>
      <c r="K359" s="188">
        <f>K360+K361</f>
        <v>0</v>
      </c>
      <c r="L359" s="172">
        <f>SUM(F359)</f>
        <v>3445.8</v>
      </c>
      <c r="M359" s="172">
        <f>SUM(M360)+M361</f>
        <v>235.8</v>
      </c>
      <c r="N359" s="172">
        <f>M359+L359</f>
        <v>3681.6000000000004</v>
      </c>
      <c r="O359" s="178">
        <f t="shared" si="87"/>
        <v>3681.6000000000004</v>
      </c>
      <c r="P359" s="92">
        <f t="shared" si="88"/>
        <v>0</v>
      </c>
    </row>
    <row r="360" spans="1:16" ht="31.5" x14ac:dyDescent="0.2">
      <c r="A360" s="42"/>
      <c r="B360" s="168" t="s">
        <v>35</v>
      </c>
      <c r="C360" s="169" t="s">
        <v>365</v>
      </c>
      <c r="D360" s="170" t="s">
        <v>36</v>
      </c>
      <c r="E360" s="171"/>
      <c r="F360" s="172">
        <v>2360.9</v>
      </c>
      <c r="G360" s="172"/>
      <c r="H360" s="172">
        <f>SUM(F360)+G360</f>
        <v>2360.9</v>
      </c>
      <c r="I360" s="188">
        <v>0</v>
      </c>
      <c r="J360" s="189"/>
      <c r="K360" s="188">
        <v>0</v>
      </c>
      <c r="L360" s="172">
        <f>F360+I360</f>
        <v>2360.9</v>
      </c>
      <c r="M360" s="172">
        <f>SUM(G360)</f>
        <v>0</v>
      </c>
      <c r="N360" s="172">
        <f>H360+K360</f>
        <v>2360.9</v>
      </c>
      <c r="O360" s="178">
        <f t="shared" si="87"/>
        <v>2360.9</v>
      </c>
      <c r="P360" s="92">
        <f t="shared" si="88"/>
        <v>0</v>
      </c>
    </row>
    <row r="361" spans="1:16" ht="18.75" x14ac:dyDescent="0.2">
      <c r="A361" s="42"/>
      <c r="B361" s="168" t="s">
        <v>41</v>
      </c>
      <c r="C361" s="169" t="s">
        <v>365</v>
      </c>
      <c r="D361" s="170" t="s">
        <v>42</v>
      </c>
      <c r="E361" s="171"/>
      <c r="F361" s="172">
        <v>1084.9000000000001</v>
      </c>
      <c r="G361" s="172">
        <v>235.8</v>
      </c>
      <c r="H361" s="172">
        <f>1084.9+G361</f>
        <v>1320.7</v>
      </c>
      <c r="I361" s="188">
        <v>0</v>
      </c>
      <c r="J361" s="189"/>
      <c r="K361" s="188">
        <v>0</v>
      </c>
      <c r="L361" s="172">
        <f>SUM(F361)</f>
        <v>1084.9000000000001</v>
      </c>
      <c r="M361" s="172">
        <f>SUM(G361)</f>
        <v>235.8</v>
      </c>
      <c r="N361" s="172">
        <f>SUM(L361:M361)</f>
        <v>1320.7</v>
      </c>
      <c r="O361" s="178">
        <f t="shared" si="87"/>
        <v>1320.7</v>
      </c>
      <c r="P361" s="92">
        <f t="shared" si="88"/>
        <v>0</v>
      </c>
    </row>
    <row r="362" spans="1:16" ht="18.75" x14ac:dyDescent="0.2">
      <c r="A362" s="49"/>
      <c r="B362" s="190" t="s">
        <v>366</v>
      </c>
      <c r="C362" s="191" t="s">
        <v>367</v>
      </c>
      <c r="D362" s="192" t="s">
        <v>26</v>
      </c>
      <c r="E362" s="193"/>
      <c r="F362" s="194">
        <f t="shared" ref="F362:N362" si="92">F363</f>
        <v>35.200000000000003</v>
      </c>
      <c r="G362" s="194">
        <f t="shared" si="92"/>
        <v>0</v>
      </c>
      <c r="H362" s="194">
        <f t="shared" si="92"/>
        <v>35.200000000000003</v>
      </c>
      <c r="I362" s="195">
        <f t="shared" si="92"/>
        <v>0</v>
      </c>
      <c r="J362" s="194">
        <f t="shared" si="92"/>
        <v>0</v>
      </c>
      <c r="K362" s="195">
        <f t="shared" si="92"/>
        <v>0</v>
      </c>
      <c r="L362" s="194">
        <f t="shared" si="92"/>
        <v>35.200000000000003</v>
      </c>
      <c r="M362" s="194">
        <f t="shared" si="92"/>
        <v>0</v>
      </c>
      <c r="N362" s="194">
        <f t="shared" si="92"/>
        <v>35.200000000000003</v>
      </c>
      <c r="O362" s="178">
        <f t="shared" si="87"/>
        <v>35.200000000000003</v>
      </c>
      <c r="P362" s="92">
        <f t="shared" si="88"/>
        <v>0</v>
      </c>
    </row>
    <row r="363" spans="1:16" ht="39" customHeight="1" x14ac:dyDescent="0.2">
      <c r="A363" s="42"/>
      <c r="B363" s="168" t="s">
        <v>368</v>
      </c>
      <c r="C363" s="169" t="s">
        <v>369</v>
      </c>
      <c r="D363" s="170" t="s">
        <v>26</v>
      </c>
      <c r="E363" s="171"/>
      <c r="F363" s="172">
        <f>F364+F366</f>
        <v>35.200000000000003</v>
      </c>
      <c r="G363" s="172">
        <f>G364+G366</f>
        <v>0</v>
      </c>
      <c r="H363" s="172">
        <f>H364+H366</f>
        <v>35.200000000000003</v>
      </c>
      <c r="I363" s="188">
        <f>I364+I366</f>
        <v>0</v>
      </c>
      <c r="J363" s="189"/>
      <c r="K363" s="188">
        <f>K364+K366</f>
        <v>0</v>
      </c>
      <c r="L363" s="172">
        <f>L364+L366</f>
        <v>35.200000000000003</v>
      </c>
      <c r="M363" s="172">
        <f>M364+M366</f>
        <v>0</v>
      </c>
      <c r="N363" s="172">
        <f>N364+N366</f>
        <v>35.200000000000003</v>
      </c>
      <c r="O363" s="178">
        <f t="shared" si="87"/>
        <v>35.200000000000003</v>
      </c>
      <c r="P363" s="92">
        <f t="shared" si="88"/>
        <v>0</v>
      </c>
    </row>
    <row r="364" spans="1:16" ht="18.75" x14ac:dyDescent="0.2">
      <c r="A364" s="42"/>
      <c r="B364" s="168" t="s">
        <v>370</v>
      </c>
      <c r="C364" s="169" t="s">
        <v>371</v>
      </c>
      <c r="D364" s="170" t="s">
        <v>26</v>
      </c>
      <c r="E364" s="171"/>
      <c r="F364" s="172">
        <f>F365</f>
        <v>20.5</v>
      </c>
      <c r="G364" s="172">
        <f>G365</f>
        <v>0</v>
      </c>
      <c r="H364" s="172">
        <f>H365</f>
        <v>20.5</v>
      </c>
      <c r="I364" s="188">
        <f>I365</f>
        <v>0</v>
      </c>
      <c r="J364" s="189"/>
      <c r="K364" s="188">
        <f>K365</f>
        <v>0</v>
      </c>
      <c r="L364" s="172">
        <f>L365</f>
        <v>20.5</v>
      </c>
      <c r="M364" s="172">
        <f>M365</f>
        <v>0</v>
      </c>
      <c r="N364" s="172">
        <f>N365</f>
        <v>20.5</v>
      </c>
      <c r="O364" s="178">
        <f t="shared" si="87"/>
        <v>20.5</v>
      </c>
      <c r="P364" s="92">
        <f t="shared" si="88"/>
        <v>0</v>
      </c>
    </row>
    <row r="365" spans="1:16" ht="22.15" customHeight="1" x14ac:dyDescent="0.2">
      <c r="A365" s="42"/>
      <c r="B365" s="168" t="s">
        <v>372</v>
      </c>
      <c r="C365" s="169" t="s">
        <v>371</v>
      </c>
      <c r="D365" s="170" t="s">
        <v>373</v>
      </c>
      <c r="E365" s="171"/>
      <c r="F365" s="172">
        <v>20.5</v>
      </c>
      <c r="G365" s="172"/>
      <c r="H365" s="172">
        <v>20.5</v>
      </c>
      <c r="I365" s="188">
        <v>0</v>
      </c>
      <c r="J365" s="189"/>
      <c r="K365" s="188">
        <v>0</v>
      </c>
      <c r="L365" s="172">
        <f>SUM(F365)</f>
        <v>20.5</v>
      </c>
      <c r="M365" s="172">
        <f>SUM(G365)</f>
        <v>0</v>
      </c>
      <c r="N365" s="172">
        <f>SUM(H365)</f>
        <v>20.5</v>
      </c>
      <c r="O365" s="178">
        <f t="shared" si="87"/>
        <v>20.5</v>
      </c>
      <c r="P365" s="92">
        <f t="shared" si="88"/>
        <v>0</v>
      </c>
    </row>
    <row r="366" spans="1:16" ht="31.5" x14ac:dyDescent="0.2">
      <c r="A366" s="42"/>
      <c r="B366" s="168" t="s">
        <v>374</v>
      </c>
      <c r="C366" s="169" t="s">
        <v>375</v>
      </c>
      <c r="D366" s="170" t="s">
        <v>26</v>
      </c>
      <c r="E366" s="171"/>
      <c r="F366" s="172">
        <f>F367</f>
        <v>14.7</v>
      </c>
      <c r="G366" s="172">
        <f>G367</f>
        <v>0</v>
      </c>
      <c r="H366" s="172">
        <f>H367</f>
        <v>14.7</v>
      </c>
      <c r="I366" s="188">
        <f>I367</f>
        <v>0</v>
      </c>
      <c r="J366" s="189"/>
      <c r="K366" s="188">
        <f>K367</f>
        <v>0</v>
      </c>
      <c r="L366" s="172">
        <f>L367</f>
        <v>14.7</v>
      </c>
      <c r="M366" s="172">
        <f>M367</f>
        <v>0</v>
      </c>
      <c r="N366" s="172">
        <f>N367</f>
        <v>14.7</v>
      </c>
      <c r="O366" s="178">
        <f t="shared" si="87"/>
        <v>14.7</v>
      </c>
      <c r="P366" s="92">
        <f t="shared" si="88"/>
        <v>0</v>
      </c>
    </row>
    <row r="367" spans="1:16" ht="31.5" x14ac:dyDescent="0.2">
      <c r="A367" s="42"/>
      <c r="B367" s="168" t="s">
        <v>35</v>
      </c>
      <c r="C367" s="169" t="s">
        <v>375</v>
      </c>
      <c r="D367" s="170" t="s">
        <v>36</v>
      </c>
      <c r="E367" s="171"/>
      <c r="F367" s="172">
        <v>14.7</v>
      </c>
      <c r="G367" s="172"/>
      <c r="H367" s="172">
        <f>SUM(F367)</f>
        <v>14.7</v>
      </c>
      <c r="I367" s="188">
        <v>0</v>
      </c>
      <c r="J367" s="189"/>
      <c r="K367" s="188">
        <v>0</v>
      </c>
      <c r="L367" s="172">
        <f>SUM(F367)</f>
        <v>14.7</v>
      </c>
      <c r="M367" s="172">
        <f>SUM(G367)</f>
        <v>0</v>
      </c>
      <c r="N367" s="172">
        <f>SUM(H367)</f>
        <v>14.7</v>
      </c>
      <c r="O367" s="178">
        <f t="shared" si="87"/>
        <v>14.7</v>
      </c>
      <c r="P367" s="92">
        <f t="shared" si="88"/>
        <v>0</v>
      </c>
    </row>
    <row r="368" spans="1:16" ht="31.5" x14ac:dyDescent="0.2">
      <c r="A368" s="49"/>
      <c r="B368" s="190" t="s">
        <v>376</v>
      </c>
      <c r="C368" s="191" t="s">
        <v>377</v>
      </c>
      <c r="D368" s="192" t="s">
        <v>26</v>
      </c>
      <c r="E368" s="193"/>
      <c r="F368" s="277">
        <f>F369+F377+F380</f>
        <v>25349</v>
      </c>
      <c r="G368" s="195">
        <f t="shared" ref="G368:N368" si="93">G369+G377+G380</f>
        <v>0</v>
      </c>
      <c r="H368" s="195">
        <f t="shared" si="93"/>
        <v>25349</v>
      </c>
      <c r="I368" s="195">
        <f t="shared" si="93"/>
        <v>0</v>
      </c>
      <c r="J368" s="195">
        <f t="shared" si="93"/>
        <v>0</v>
      </c>
      <c r="K368" s="195">
        <f t="shared" si="93"/>
        <v>0</v>
      </c>
      <c r="L368" s="195">
        <f t="shared" si="93"/>
        <v>25349</v>
      </c>
      <c r="M368" s="195">
        <f t="shared" si="93"/>
        <v>0</v>
      </c>
      <c r="N368" s="195">
        <f t="shared" si="93"/>
        <v>25349</v>
      </c>
      <c r="O368" s="178">
        <f t="shared" si="87"/>
        <v>25349</v>
      </c>
      <c r="P368" s="92">
        <f t="shared" si="88"/>
        <v>0</v>
      </c>
    </row>
    <row r="369" spans="1:16" ht="37.9" customHeight="1" x14ac:dyDescent="0.2">
      <c r="A369" s="42"/>
      <c r="B369" s="168" t="s">
        <v>378</v>
      </c>
      <c r="C369" s="169" t="s">
        <v>379</v>
      </c>
      <c r="D369" s="170" t="s">
        <v>26</v>
      </c>
      <c r="E369" s="171"/>
      <c r="F369" s="172">
        <f>F370+F375</f>
        <v>4335.0999999999995</v>
      </c>
      <c r="G369" s="172">
        <f>G370+G375</f>
        <v>0</v>
      </c>
      <c r="H369" s="172">
        <f>H370+H375</f>
        <v>4335.0999999999995</v>
      </c>
      <c r="I369" s="188">
        <f>I370</f>
        <v>0</v>
      </c>
      <c r="J369" s="189"/>
      <c r="K369" s="188">
        <f>K370</f>
        <v>0</v>
      </c>
      <c r="L369" s="172">
        <f>L370+L375</f>
        <v>4335.0999999999995</v>
      </c>
      <c r="M369" s="172">
        <f>M370+G369</f>
        <v>0</v>
      </c>
      <c r="N369" s="172">
        <f>N370+M369+N375</f>
        <v>4335.0999999999995</v>
      </c>
      <c r="O369" s="178">
        <f t="shared" si="87"/>
        <v>4335.0999999999995</v>
      </c>
      <c r="P369" s="92">
        <f t="shared" si="88"/>
        <v>0</v>
      </c>
    </row>
    <row r="370" spans="1:16" ht="31.5" x14ac:dyDescent="0.2">
      <c r="A370" s="42"/>
      <c r="B370" s="168" t="s">
        <v>93</v>
      </c>
      <c r="C370" s="169" t="s">
        <v>380</v>
      </c>
      <c r="D370" s="170" t="s">
        <v>26</v>
      </c>
      <c r="E370" s="171"/>
      <c r="F370" s="172">
        <f>F371+F374</f>
        <v>3784.2</v>
      </c>
      <c r="G370" s="172">
        <f>G371+G374</f>
        <v>0</v>
      </c>
      <c r="H370" s="172">
        <f>H371+H374</f>
        <v>3784.2</v>
      </c>
      <c r="I370" s="188">
        <f>I371+I374</f>
        <v>0</v>
      </c>
      <c r="J370" s="189"/>
      <c r="K370" s="188">
        <f>K371+K374</f>
        <v>0</v>
      </c>
      <c r="L370" s="172">
        <f>L371+L374</f>
        <v>3784.2</v>
      </c>
      <c r="M370" s="172">
        <f>M371+M374</f>
        <v>0</v>
      </c>
      <c r="N370" s="172">
        <f>N371+N374</f>
        <v>3784.2</v>
      </c>
      <c r="O370" s="178">
        <f t="shared" si="87"/>
        <v>3784.2</v>
      </c>
      <c r="P370" s="92">
        <f t="shared" si="88"/>
        <v>0</v>
      </c>
    </row>
    <row r="371" spans="1:16" ht="63.75" customHeight="1" x14ac:dyDescent="0.2">
      <c r="A371" s="42"/>
      <c r="B371" s="168" t="s">
        <v>31</v>
      </c>
      <c r="C371" s="169" t="s">
        <v>380</v>
      </c>
      <c r="D371" s="170" t="s">
        <v>32</v>
      </c>
      <c r="E371" s="171"/>
      <c r="F371" s="172">
        <v>3766.1</v>
      </c>
      <c r="G371" s="172"/>
      <c r="H371" s="172">
        <f>F371+G371</f>
        <v>3766.1</v>
      </c>
      <c r="I371" s="188">
        <v>0</v>
      </c>
      <c r="J371" s="189"/>
      <c r="K371" s="188">
        <v>0</v>
      </c>
      <c r="L371" s="172">
        <f t="shared" ref="L371:N374" si="94">SUM(F371)</f>
        <v>3766.1</v>
      </c>
      <c r="M371" s="172">
        <f t="shared" si="94"/>
        <v>0</v>
      </c>
      <c r="N371" s="172">
        <f t="shared" si="94"/>
        <v>3766.1</v>
      </c>
      <c r="O371" s="178">
        <f t="shared" si="87"/>
        <v>3766.1</v>
      </c>
      <c r="P371" s="92">
        <f t="shared" si="88"/>
        <v>0</v>
      </c>
    </row>
    <row r="372" spans="1:16" ht="64.5" hidden="1" customHeight="1" x14ac:dyDescent="0.2">
      <c r="A372" s="42"/>
      <c r="B372" s="168" t="s">
        <v>502</v>
      </c>
      <c r="C372" s="169" t="s">
        <v>504</v>
      </c>
      <c r="D372" s="170"/>
      <c r="E372" s="171"/>
      <c r="F372" s="172"/>
      <c r="G372" s="289"/>
      <c r="H372" s="172"/>
      <c r="I372" s="188"/>
      <c r="J372" s="189"/>
      <c r="K372" s="188"/>
      <c r="L372" s="172"/>
      <c r="M372" s="172"/>
      <c r="N372" s="172"/>
      <c r="O372" s="178"/>
      <c r="P372" s="92"/>
    </row>
    <row r="373" spans="1:16" ht="64.5" hidden="1" customHeight="1" x14ac:dyDescent="0.2">
      <c r="A373" s="42"/>
      <c r="B373" s="168" t="s">
        <v>31</v>
      </c>
      <c r="C373" s="169" t="s">
        <v>504</v>
      </c>
      <c r="D373" s="170" t="s">
        <v>32</v>
      </c>
      <c r="E373" s="171"/>
      <c r="F373" s="172"/>
      <c r="G373" s="289"/>
      <c r="H373" s="172"/>
      <c r="I373" s="188"/>
      <c r="J373" s="189"/>
      <c r="K373" s="188"/>
      <c r="L373" s="172"/>
      <c r="M373" s="172"/>
      <c r="N373" s="172"/>
      <c r="O373" s="178"/>
      <c r="P373" s="92"/>
    </row>
    <row r="374" spans="1:16" ht="31.5" x14ac:dyDescent="0.2">
      <c r="A374" s="42"/>
      <c r="B374" s="168" t="s">
        <v>35</v>
      </c>
      <c r="C374" s="169" t="s">
        <v>380</v>
      </c>
      <c r="D374" s="170" t="s">
        <v>36</v>
      </c>
      <c r="E374" s="171"/>
      <c r="F374" s="172">
        <v>18.100000000000001</v>
      </c>
      <c r="G374" s="215"/>
      <c r="H374" s="172">
        <f>F374+G374</f>
        <v>18.100000000000001</v>
      </c>
      <c r="I374" s="188">
        <v>0</v>
      </c>
      <c r="J374" s="189"/>
      <c r="K374" s="188">
        <v>0</v>
      </c>
      <c r="L374" s="172">
        <f t="shared" si="94"/>
        <v>18.100000000000001</v>
      </c>
      <c r="M374" s="172">
        <f t="shared" si="94"/>
        <v>0</v>
      </c>
      <c r="N374" s="172">
        <f t="shared" si="94"/>
        <v>18.100000000000001</v>
      </c>
      <c r="O374" s="178">
        <f t="shared" si="87"/>
        <v>18.100000000000001</v>
      </c>
      <c r="P374" s="92">
        <f t="shared" si="88"/>
        <v>0</v>
      </c>
    </row>
    <row r="375" spans="1:16" ht="78.75" x14ac:dyDescent="0.2">
      <c r="A375" s="42"/>
      <c r="B375" s="168" t="s">
        <v>502</v>
      </c>
      <c r="C375" s="169" t="s">
        <v>504</v>
      </c>
      <c r="D375" s="170"/>
      <c r="E375" s="171"/>
      <c r="F375" s="172">
        <f>SUM(F376)</f>
        <v>550.9</v>
      </c>
      <c r="G375" s="290">
        <f>SUM(G376)</f>
        <v>0</v>
      </c>
      <c r="H375" s="290">
        <f>SUM(H376)</f>
        <v>550.9</v>
      </c>
      <c r="I375" s="188"/>
      <c r="J375" s="189"/>
      <c r="K375" s="188"/>
      <c r="L375" s="172">
        <f t="shared" ref="L375:N376" si="95">SUM(F375)</f>
        <v>550.9</v>
      </c>
      <c r="M375" s="172">
        <f t="shared" si="95"/>
        <v>0</v>
      </c>
      <c r="N375" s="172">
        <f t="shared" si="95"/>
        <v>550.9</v>
      </c>
      <c r="O375" s="178"/>
      <c r="P375" s="92"/>
    </row>
    <row r="376" spans="1:16" ht="63" x14ac:dyDescent="0.2">
      <c r="A376" s="42"/>
      <c r="B376" s="168" t="s">
        <v>31</v>
      </c>
      <c r="C376" s="169" t="s">
        <v>504</v>
      </c>
      <c r="D376" s="170" t="s">
        <v>32</v>
      </c>
      <c r="E376" s="171"/>
      <c r="F376" s="172">
        <v>550.9</v>
      </c>
      <c r="G376" s="290"/>
      <c r="H376" s="172">
        <f>SUM(G376)+F376</f>
        <v>550.9</v>
      </c>
      <c r="I376" s="188"/>
      <c r="J376" s="189"/>
      <c r="K376" s="188"/>
      <c r="L376" s="172">
        <f t="shared" si="95"/>
        <v>550.9</v>
      </c>
      <c r="M376" s="172">
        <f t="shared" si="95"/>
        <v>0</v>
      </c>
      <c r="N376" s="172">
        <f t="shared" si="95"/>
        <v>550.9</v>
      </c>
      <c r="O376" s="178"/>
      <c r="P376" s="92"/>
    </row>
    <row r="377" spans="1:16" ht="47.25" x14ac:dyDescent="0.2">
      <c r="A377" s="42"/>
      <c r="B377" s="168" t="s">
        <v>381</v>
      </c>
      <c r="C377" s="169" t="s">
        <v>382</v>
      </c>
      <c r="D377" s="170" t="s">
        <v>26</v>
      </c>
      <c r="E377" s="171"/>
      <c r="F377" s="172">
        <f t="shared" ref="F377:N378" si="96">F378</f>
        <v>11636.5</v>
      </c>
      <c r="G377" s="172">
        <f t="shared" si="96"/>
        <v>0</v>
      </c>
      <c r="H377" s="172">
        <f t="shared" si="96"/>
        <v>11636.5</v>
      </c>
      <c r="I377" s="188">
        <f t="shared" si="96"/>
        <v>0</v>
      </c>
      <c r="J377" s="189"/>
      <c r="K377" s="188">
        <f t="shared" si="96"/>
        <v>0</v>
      </c>
      <c r="L377" s="172">
        <f t="shared" si="96"/>
        <v>11636.5</v>
      </c>
      <c r="M377" s="172">
        <f t="shared" si="96"/>
        <v>0</v>
      </c>
      <c r="N377" s="172">
        <f t="shared" si="96"/>
        <v>11636.5</v>
      </c>
      <c r="O377" s="178">
        <f t="shared" si="87"/>
        <v>11636.5</v>
      </c>
      <c r="P377" s="92">
        <f t="shared" si="88"/>
        <v>0</v>
      </c>
    </row>
    <row r="378" spans="1:16" ht="31.5" x14ac:dyDescent="0.2">
      <c r="A378" s="42"/>
      <c r="B378" s="168" t="s">
        <v>39</v>
      </c>
      <c r="C378" s="169" t="s">
        <v>383</v>
      </c>
      <c r="D378" s="170" t="s">
        <v>26</v>
      </c>
      <c r="E378" s="171"/>
      <c r="F378" s="172">
        <f t="shared" si="96"/>
        <v>11636.5</v>
      </c>
      <c r="G378" s="172">
        <f t="shared" si="96"/>
        <v>0</v>
      </c>
      <c r="H378" s="172">
        <f t="shared" si="96"/>
        <v>11636.5</v>
      </c>
      <c r="I378" s="188">
        <f t="shared" si="96"/>
        <v>0</v>
      </c>
      <c r="J378" s="189"/>
      <c r="K378" s="188">
        <f t="shared" si="96"/>
        <v>0</v>
      </c>
      <c r="L378" s="172">
        <f t="shared" si="96"/>
        <v>11636.5</v>
      </c>
      <c r="M378" s="172">
        <f t="shared" si="96"/>
        <v>0</v>
      </c>
      <c r="N378" s="172">
        <f t="shared" si="96"/>
        <v>11636.5</v>
      </c>
      <c r="O378" s="178">
        <f t="shared" si="87"/>
        <v>11636.5</v>
      </c>
      <c r="P378" s="92">
        <f t="shared" si="88"/>
        <v>0</v>
      </c>
    </row>
    <row r="379" spans="1:16" ht="31.5" x14ac:dyDescent="0.2">
      <c r="A379" s="42"/>
      <c r="B379" s="168" t="s">
        <v>74</v>
      </c>
      <c r="C379" s="169" t="s">
        <v>383</v>
      </c>
      <c r="D379" s="170" t="s">
        <v>75</v>
      </c>
      <c r="E379" s="171"/>
      <c r="F379" s="172">
        <v>11636.5</v>
      </c>
      <c r="G379" s="172"/>
      <c r="H379" s="172">
        <f>SUM(F379)</f>
        <v>11636.5</v>
      </c>
      <c r="I379" s="188">
        <v>0</v>
      </c>
      <c r="J379" s="189"/>
      <c r="K379" s="188">
        <v>0</v>
      </c>
      <c r="L379" s="172">
        <f>SUM(F379)</f>
        <v>11636.5</v>
      </c>
      <c r="M379" s="172">
        <f>SUM(G379)</f>
        <v>0</v>
      </c>
      <c r="N379" s="172">
        <f>SUM(L379)</f>
        <v>11636.5</v>
      </c>
      <c r="O379" s="178">
        <f t="shared" si="87"/>
        <v>11636.5</v>
      </c>
      <c r="P379" s="92">
        <f t="shared" si="88"/>
        <v>0</v>
      </c>
    </row>
    <row r="380" spans="1:16" ht="36.6" customHeight="1" x14ac:dyDescent="0.2">
      <c r="A380" s="42"/>
      <c r="B380" s="168" t="s">
        <v>384</v>
      </c>
      <c r="C380" s="169" t="s">
        <v>385</v>
      </c>
      <c r="D380" s="170" t="s">
        <v>26</v>
      </c>
      <c r="E380" s="171"/>
      <c r="F380" s="188">
        <f>F381+F385</f>
        <v>9377.4</v>
      </c>
      <c r="G380" s="188">
        <f t="shared" ref="G380:N380" si="97">G381+G385</f>
        <v>0</v>
      </c>
      <c r="H380" s="188">
        <f t="shared" si="97"/>
        <v>9377.4</v>
      </c>
      <c r="I380" s="188">
        <f t="shared" si="97"/>
        <v>0</v>
      </c>
      <c r="J380" s="188">
        <f t="shared" si="97"/>
        <v>0</v>
      </c>
      <c r="K380" s="188">
        <f t="shared" si="97"/>
        <v>0</v>
      </c>
      <c r="L380" s="188">
        <f t="shared" si="97"/>
        <v>9377.4</v>
      </c>
      <c r="M380" s="188">
        <f t="shared" si="97"/>
        <v>0</v>
      </c>
      <c r="N380" s="188">
        <f t="shared" si="97"/>
        <v>9377.4</v>
      </c>
      <c r="O380" s="178">
        <f t="shared" si="87"/>
        <v>9377.4</v>
      </c>
      <c r="P380" s="92">
        <f t="shared" si="88"/>
        <v>0</v>
      </c>
    </row>
    <row r="381" spans="1:16" ht="36" customHeight="1" x14ac:dyDescent="0.2">
      <c r="A381" s="42"/>
      <c r="B381" s="168" t="s">
        <v>386</v>
      </c>
      <c r="C381" s="169" t="s">
        <v>387</v>
      </c>
      <c r="D381" s="170" t="s">
        <v>26</v>
      </c>
      <c r="E381" s="171"/>
      <c r="F381" s="172">
        <f>F382+F383</f>
        <v>1517.4</v>
      </c>
      <c r="G381" s="172">
        <f>G382+G383</f>
        <v>0</v>
      </c>
      <c r="H381" s="172">
        <f>H382+H383</f>
        <v>1517.4</v>
      </c>
      <c r="I381" s="188">
        <f>I382+I383</f>
        <v>0</v>
      </c>
      <c r="J381" s="189"/>
      <c r="K381" s="188">
        <f>K382+K383</f>
        <v>0</v>
      </c>
      <c r="L381" s="172">
        <f>L382+L383</f>
        <v>1517.4</v>
      </c>
      <c r="M381" s="172">
        <f>M382+M383</f>
        <v>0</v>
      </c>
      <c r="N381" s="172">
        <f>SUM(L381)+M381</f>
        <v>1517.4</v>
      </c>
      <c r="O381" s="178">
        <f t="shared" si="87"/>
        <v>1517.4</v>
      </c>
      <c r="P381" s="92">
        <f t="shared" si="88"/>
        <v>0</v>
      </c>
    </row>
    <row r="382" spans="1:16" ht="31.5" x14ac:dyDescent="0.2">
      <c r="A382" s="42"/>
      <c r="B382" s="168" t="s">
        <v>35</v>
      </c>
      <c r="C382" s="169" t="s">
        <v>387</v>
      </c>
      <c r="D382" s="170" t="s">
        <v>36</v>
      </c>
      <c r="E382" s="171"/>
      <c r="F382" s="172">
        <v>1517.4</v>
      </c>
      <c r="G382" s="172"/>
      <c r="H382" s="172">
        <f>SUM(F382)+G382</f>
        <v>1517.4</v>
      </c>
      <c r="I382" s="188">
        <v>0</v>
      </c>
      <c r="J382" s="189"/>
      <c r="K382" s="188">
        <v>0</v>
      </c>
      <c r="L382" s="172">
        <f>SUM(F382)</f>
        <v>1517.4</v>
      </c>
      <c r="M382" s="172">
        <f>SUM(G382)</f>
        <v>0</v>
      </c>
      <c r="N382" s="172">
        <f>SUM(H382)</f>
        <v>1517.4</v>
      </c>
      <c r="O382" s="178">
        <f t="shared" si="87"/>
        <v>1517.4</v>
      </c>
      <c r="P382" s="92">
        <f t="shared" si="88"/>
        <v>0</v>
      </c>
    </row>
    <row r="383" spans="1:16" ht="21.6" customHeight="1" x14ac:dyDescent="0.2">
      <c r="A383" s="42"/>
      <c r="B383" s="168" t="s">
        <v>41</v>
      </c>
      <c r="C383" s="169" t="s">
        <v>387</v>
      </c>
      <c r="D383" s="170" t="s">
        <v>42</v>
      </c>
      <c r="E383" s="171"/>
      <c r="F383" s="172">
        <v>0</v>
      </c>
      <c r="G383" s="172"/>
      <c r="H383" s="172"/>
      <c r="I383" s="188">
        <v>0</v>
      </c>
      <c r="J383" s="189"/>
      <c r="K383" s="188">
        <v>0</v>
      </c>
      <c r="L383" s="172"/>
      <c r="M383" s="172">
        <f>SUM(G383)</f>
        <v>0</v>
      </c>
      <c r="N383" s="172"/>
      <c r="O383" s="178">
        <f t="shared" si="87"/>
        <v>0</v>
      </c>
      <c r="P383" s="92">
        <f t="shared" si="88"/>
        <v>0</v>
      </c>
    </row>
    <row r="384" spans="1:16" ht="0.6" hidden="1" customHeight="1" x14ac:dyDescent="0.2">
      <c r="A384" s="42"/>
      <c r="B384" s="168" t="s">
        <v>490</v>
      </c>
      <c r="C384" s="169" t="s">
        <v>385</v>
      </c>
      <c r="D384" s="170"/>
      <c r="E384" s="171"/>
      <c r="F384" s="172"/>
      <c r="G384" s="172">
        <f>SUM(G386)</f>
        <v>0</v>
      </c>
      <c r="H384" s="172">
        <f>SUM(G384)</f>
        <v>0</v>
      </c>
      <c r="I384" s="188"/>
      <c r="J384" s="189"/>
      <c r="K384" s="188"/>
      <c r="L384" s="172"/>
      <c r="M384" s="172">
        <f>SUM(G384)</f>
        <v>0</v>
      </c>
      <c r="N384" s="172">
        <f>SUM(H384)</f>
        <v>0</v>
      </c>
      <c r="O384" s="178">
        <f t="shared" si="87"/>
        <v>0</v>
      </c>
      <c r="P384" s="92">
        <f t="shared" si="88"/>
        <v>0</v>
      </c>
    </row>
    <row r="385" spans="1:16" ht="47.25" x14ac:dyDescent="0.2">
      <c r="A385" s="42"/>
      <c r="B385" s="168" t="s">
        <v>492</v>
      </c>
      <c r="C385" s="169" t="s">
        <v>494</v>
      </c>
      <c r="D385" s="170"/>
      <c r="E385" s="171"/>
      <c r="F385" s="172">
        <v>7860</v>
      </c>
      <c r="G385" s="172">
        <f>SUM(G386)</f>
        <v>0</v>
      </c>
      <c r="H385" s="172">
        <f>SUM(F385)</f>
        <v>7860</v>
      </c>
      <c r="I385" s="188"/>
      <c r="J385" s="189"/>
      <c r="K385" s="188"/>
      <c r="L385" s="172">
        <f>SUM(F385)</f>
        <v>7860</v>
      </c>
      <c r="M385" s="172">
        <f>SUM(G385)</f>
        <v>0</v>
      </c>
      <c r="N385" s="172">
        <f>SUM(H385)</f>
        <v>7860</v>
      </c>
      <c r="O385" s="178">
        <f t="shared" si="87"/>
        <v>7860</v>
      </c>
      <c r="P385" s="92">
        <f t="shared" si="88"/>
        <v>0</v>
      </c>
    </row>
    <row r="386" spans="1:16" ht="31.5" x14ac:dyDescent="0.2">
      <c r="A386" s="42"/>
      <c r="B386" s="168" t="s">
        <v>131</v>
      </c>
      <c r="C386" s="169" t="s">
        <v>494</v>
      </c>
      <c r="D386" s="170" t="s">
        <v>132</v>
      </c>
      <c r="E386" s="171"/>
      <c r="F386" s="172">
        <v>7860</v>
      </c>
      <c r="G386" s="172"/>
      <c r="H386" s="172">
        <f>SUM(F386)</f>
        <v>7860</v>
      </c>
      <c r="I386" s="188"/>
      <c r="J386" s="189"/>
      <c r="K386" s="188"/>
      <c r="L386" s="172">
        <f>SUM(F386)</f>
        <v>7860</v>
      </c>
      <c r="M386" s="172">
        <f>SUM(G386)</f>
        <v>0</v>
      </c>
      <c r="N386" s="172">
        <f>SUM(H386)</f>
        <v>7860</v>
      </c>
      <c r="O386" s="178">
        <f t="shared" si="87"/>
        <v>7860</v>
      </c>
      <c r="P386" s="92">
        <f t="shared" si="88"/>
        <v>0</v>
      </c>
    </row>
    <row r="387" spans="1:16" ht="18.75" x14ac:dyDescent="0.2">
      <c r="A387" s="19" t="s">
        <v>388</v>
      </c>
      <c r="B387" s="182" t="s">
        <v>389</v>
      </c>
      <c r="C387" s="183" t="s">
        <v>390</v>
      </c>
      <c r="D387" s="184" t="s">
        <v>26</v>
      </c>
      <c r="E387" s="185"/>
      <c r="F387" s="186">
        <f t="shared" ref="F387:N389" si="98">F388</f>
        <v>1383.6</v>
      </c>
      <c r="G387" s="186">
        <f t="shared" si="98"/>
        <v>0</v>
      </c>
      <c r="H387" s="186">
        <f t="shared" si="98"/>
        <v>1383.6</v>
      </c>
      <c r="I387" s="187">
        <f t="shared" si="98"/>
        <v>0</v>
      </c>
      <c r="J387" s="186">
        <f>J388</f>
        <v>0</v>
      </c>
      <c r="K387" s="187">
        <f t="shared" si="98"/>
        <v>0</v>
      </c>
      <c r="L387" s="186">
        <f t="shared" si="98"/>
        <v>1383.6</v>
      </c>
      <c r="M387" s="186">
        <f t="shared" si="98"/>
        <v>0</v>
      </c>
      <c r="N387" s="186">
        <f t="shared" si="98"/>
        <v>1383.6</v>
      </c>
      <c r="O387" s="178">
        <f t="shared" si="87"/>
        <v>1383.6</v>
      </c>
      <c r="P387" s="92">
        <f t="shared" si="88"/>
        <v>0</v>
      </c>
    </row>
    <row r="388" spans="1:16" ht="51.6" customHeight="1" x14ac:dyDescent="0.2">
      <c r="A388" s="42"/>
      <c r="B388" s="168" t="s">
        <v>391</v>
      </c>
      <c r="C388" s="169" t="s">
        <v>392</v>
      </c>
      <c r="D388" s="170" t="s">
        <v>26</v>
      </c>
      <c r="E388" s="171"/>
      <c r="F388" s="172">
        <f t="shared" si="98"/>
        <v>1383.6</v>
      </c>
      <c r="G388" s="172">
        <f t="shared" si="98"/>
        <v>0</v>
      </c>
      <c r="H388" s="172">
        <f t="shared" si="98"/>
        <v>1383.6</v>
      </c>
      <c r="I388" s="188">
        <f t="shared" si="98"/>
        <v>0</v>
      </c>
      <c r="J388" s="189"/>
      <c r="K388" s="188">
        <f t="shared" si="98"/>
        <v>0</v>
      </c>
      <c r="L388" s="172">
        <f t="shared" si="98"/>
        <v>1383.6</v>
      </c>
      <c r="M388" s="172">
        <f t="shared" si="98"/>
        <v>0</v>
      </c>
      <c r="N388" s="172">
        <f t="shared" si="98"/>
        <v>1383.6</v>
      </c>
      <c r="O388" s="178">
        <f t="shared" si="87"/>
        <v>1383.6</v>
      </c>
      <c r="P388" s="92">
        <f t="shared" si="88"/>
        <v>0</v>
      </c>
    </row>
    <row r="389" spans="1:16" ht="31.5" x14ac:dyDescent="0.2">
      <c r="A389" s="42"/>
      <c r="B389" s="168" t="s">
        <v>393</v>
      </c>
      <c r="C389" s="169" t="s">
        <v>394</v>
      </c>
      <c r="D389" s="170" t="s">
        <v>26</v>
      </c>
      <c r="E389" s="171"/>
      <c r="F389" s="172">
        <f t="shared" si="98"/>
        <v>1383.6</v>
      </c>
      <c r="G389" s="172">
        <f t="shared" si="98"/>
        <v>0</v>
      </c>
      <c r="H389" s="172">
        <f t="shared" si="98"/>
        <v>1383.6</v>
      </c>
      <c r="I389" s="188">
        <f t="shared" si="98"/>
        <v>0</v>
      </c>
      <c r="J389" s="189"/>
      <c r="K389" s="188">
        <f t="shared" si="98"/>
        <v>0</v>
      </c>
      <c r="L389" s="172">
        <f t="shared" si="98"/>
        <v>1383.6</v>
      </c>
      <c r="M389" s="172">
        <f t="shared" si="98"/>
        <v>0</v>
      </c>
      <c r="N389" s="172">
        <f t="shared" si="98"/>
        <v>1383.6</v>
      </c>
      <c r="O389" s="178">
        <f t="shared" si="87"/>
        <v>1383.6</v>
      </c>
      <c r="P389" s="92">
        <f t="shared" si="88"/>
        <v>0</v>
      </c>
    </row>
    <row r="390" spans="1:16" ht="31.5" x14ac:dyDescent="0.2">
      <c r="A390" s="42"/>
      <c r="B390" s="168" t="s">
        <v>35</v>
      </c>
      <c r="C390" s="169" t="s">
        <v>394</v>
      </c>
      <c r="D390" s="170" t="s">
        <v>36</v>
      </c>
      <c r="E390" s="171"/>
      <c r="F390" s="172">
        <v>1383.6</v>
      </c>
      <c r="G390" s="172"/>
      <c r="H390" s="172">
        <f>SUM(F390)+G390</f>
        <v>1383.6</v>
      </c>
      <c r="I390" s="188">
        <v>0</v>
      </c>
      <c r="J390" s="189"/>
      <c r="K390" s="188">
        <v>0</v>
      </c>
      <c r="L390" s="172">
        <f>SUM(F390)</f>
        <v>1383.6</v>
      </c>
      <c r="M390" s="172">
        <f>SUM(G390)</f>
        <v>0</v>
      </c>
      <c r="N390" s="172">
        <f>SUM(H390)</f>
        <v>1383.6</v>
      </c>
      <c r="O390" s="178">
        <f t="shared" si="87"/>
        <v>1383.6</v>
      </c>
      <c r="P390" s="92">
        <f t="shared" si="88"/>
        <v>0</v>
      </c>
    </row>
    <row r="391" spans="1:16" ht="49.15" customHeight="1" x14ac:dyDescent="0.2">
      <c r="A391" s="19" t="s">
        <v>395</v>
      </c>
      <c r="B391" s="182" t="s">
        <v>396</v>
      </c>
      <c r="C391" s="183" t="s">
        <v>397</v>
      </c>
      <c r="D391" s="184" t="s">
        <v>26</v>
      </c>
      <c r="E391" s="185"/>
      <c r="F391" s="186">
        <f t="shared" ref="F391:N393" si="99">F392</f>
        <v>1314.8</v>
      </c>
      <c r="G391" s="186">
        <f t="shared" si="99"/>
        <v>0</v>
      </c>
      <c r="H391" s="186">
        <f t="shared" si="99"/>
        <v>1314.8</v>
      </c>
      <c r="I391" s="187">
        <f t="shared" si="99"/>
        <v>0</v>
      </c>
      <c r="J391" s="186">
        <f>J392</f>
        <v>0</v>
      </c>
      <c r="K391" s="187">
        <f t="shared" si="99"/>
        <v>0</v>
      </c>
      <c r="L391" s="186">
        <f t="shared" si="99"/>
        <v>1314.8</v>
      </c>
      <c r="M391" s="186">
        <f t="shared" si="99"/>
        <v>0</v>
      </c>
      <c r="N391" s="186">
        <f t="shared" si="99"/>
        <v>1314.8</v>
      </c>
      <c r="O391" s="178">
        <f t="shared" si="87"/>
        <v>1314.8</v>
      </c>
      <c r="P391" s="92">
        <f t="shared" si="88"/>
        <v>0</v>
      </c>
    </row>
    <row r="392" spans="1:16" ht="30.6" customHeight="1" x14ac:dyDescent="0.2">
      <c r="A392" s="42"/>
      <c r="B392" s="168" t="s">
        <v>398</v>
      </c>
      <c r="C392" s="169" t="s">
        <v>399</v>
      </c>
      <c r="D392" s="170" t="s">
        <v>26</v>
      </c>
      <c r="E392" s="171"/>
      <c r="F392" s="172">
        <f>F393+F396</f>
        <v>1314.8</v>
      </c>
      <c r="G392" s="172">
        <f>G393+G396</f>
        <v>0</v>
      </c>
      <c r="H392" s="172">
        <f>H393+H396</f>
        <v>1314.8</v>
      </c>
      <c r="I392" s="188">
        <f t="shared" si="99"/>
        <v>0</v>
      </c>
      <c r="J392" s="189"/>
      <c r="K392" s="188">
        <f t="shared" si="99"/>
        <v>0</v>
      </c>
      <c r="L392" s="172">
        <f>SUM(F392)</f>
        <v>1314.8</v>
      </c>
      <c r="M392" s="172">
        <f>SUM(G392)</f>
        <v>0</v>
      </c>
      <c r="N392" s="172">
        <f>N393+N396</f>
        <v>1314.8</v>
      </c>
      <c r="O392" s="178">
        <f t="shared" si="87"/>
        <v>1314.8</v>
      </c>
      <c r="P392" s="92">
        <f t="shared" si="88"/>
        <v>0</v>
      </c>
    </row>
    <row r="393" spans="1:16" ht="49.15" customHeight="1" x14ac:dyDescent="0.2">
      <c r="A393" s="42"/>
      <c r="B393" s="168" t="s">
        <v>400</v>
      </c>
      <c r="C393" s="169" t="s">
        <v>401</v>
      </c>
      <c r="D393" s="170" t="s">
        <v>26</v>
      </c>
      <c r="E393" s="171"/>
      <c r="F393" s="172">
        <f>F394+F395</f>
        <v>549.9</v>
      </c>
      <c r="G393" s="172">
        <f>G394+G395</f>
        <v>0</v>
      </c>
      <c r="H393" s="172">
        <f>H394+H395</f>
        <v>549.9</v>
      </c>
      <c r="I393" s="188">
        <f t="shared" si="99"/>
        <v>0</v>
      </c>
      <c r="J393" s="189"/>
      <c r="K393" s="188">
        <f t="shared" si="99"/>
        <v>0</v>
      </c>
      <c r="L393" s="172">
        <f>L394+L395</f>
        <v>549.9</v>
      </c>
      <c r="M393" s="172">
        <f t="shared" si="99"/>
        <v>0</v>
      </c>
      <c r="N393" s="172">
        <f>N394+N395</f>
        <v>549.9</v>
      </c>
      <c r="O393" s="178">
        <f t="shared" si="87"/>
        <v>549.9</v>
      </c>
      <c r="P393" s="92">
        <f t="shared" si="88"/>
        <v>0</v>
      </c>
    </row>
    <row r="394" spans="1:16" ht="31.5" x14ac:dyDescent="0.2">
      <c r="A394" s="57"/>
      <c r="B394" s="216" t="s">
        <v>35</v>
      </c>
      <c r="C394" s="217" t="s">
        <v>401</v>
      </c>
      <c r="D394" s="170" t="s">
        <v>36</v>
      </c>
      <c r="E394" s="171"/>
      <c r="F394" s="172">
        <v>349.9</v>
      </c>
      <c r="G394" s="172"/>
      <c r="H394" s="172">
        <f>SUM(F394:G394)</f>
        <v>349.9</v>
      </c>
      <c r="I394" s="188">
        <v>0</v>
      </c>
      <c r="J394" s="189"/>
      <c r="K394" s="188">
        <v>0</v>
      </c>
      <c r="L394" s="172">
        <f t="shared" ref="L394:N397" si="100">SUM(F394)</f>
        <v>349.9</v>
      </c>
      <c r="M394" s="172">
        <f t="shared" si="100"/>
        <v>0</v>
      </c>
      <c r="N394" s="172">
        <f t="shared" si="100"/>
        <v>349.9</v>
      </c>
      <c r="O394" s="178">
        <f t="shared" si="87"/>
        <v>349.9</v>
      </c>
      <c r="P394" s="92">
        <f t="shared" si="88"/>
        <v>0</v>
      </c>
    </row>
    <row r="395" spans="1:16" ht="18.75" x14ac:dyDescent="0.2">
      <c r="A395" s="133"/>
      <c r="B395" s="168" t="s">
        <v>54</v>
      </c>
      <c r="C395" s="217" t="s">
        <v>401</v>
      </c>
      <c r="D395" s="170" t="s">
        <v>55</v>
      </c>
      <c r="E395" s="171"/>
      <c r="F395" s="172">
        <v>200</v>
      </c>
      <c r="G395" s="172"/>
      <c r="H395" s="172">
        <f>SUM(F395)</f>
        <v>200</v>
      </c>
      <c r="I395" s="189"/>
      <c r="J395" s="189"/>
      <c r="K395" s="189"/>
      <c r="L395" s="172">
        <f>SUM(F395)</f>
        <v>200</v>
      </c>
      <c r="M395" s="172">
        <f>SUM(G395)</f>
        <v>0</v>
      </c>
      <c r="N395" s="172">
        <f>SUM(H395)</f>
        <v>200</v>
      </c>
      <c r="O395" s="178">
        <f t="shared" si="87"/>
        <v>200</v>
      </c>
      <c r="P395" s="92">
        <f t="shared" si="88"/>
        <v>0</v>
      </c>
    </row>
    <row r="396" spans="1:16" ht="31.5" x14ac:dyDescent="0.2">
      <c r="A396" s="133"/>
      <c r="B396" s="197" t="s">
        <v>402</v>
      </c>
      <c r="C396" s="169" t="s">
        <v>403</v>
      </c>
      <c r="D396" s="170"/>
      <c r="E396" s="171"/>
      <c r="F396" s="219">
        <v>764.9</v>
      </c>
      <c r="G396" s="172"/>
      <c r="H396" s="172">
        <f>SUM(F396)+G396</f>
        <v>764.9</v>
      </c>
      <c r="I396" s="189"/>
      <c r="J396" s="189"/>
      <c r="K396" s="189"/>
      <c r="L396" s="172">
        <f t="shared" si="100"/>
        <v>764.9</v>
      </c>
      <c r="M396" s="172">
        <f t="shared" si="100"/>
        <v>0</v>
      </c>
      <c r="N396" s="172">
        <f t="shared" si="100"/>
        <v>764.9</v>
      </c>
      <c r="O396" s="178">
        <f t="shared" si="87"/>
        <v>764.9</v>
      </c>
      <c r="P396" s="92">
        <f t="shared" si="88"/>
        <v>0</v>
      </c>
    </row>
    <row r="397" spans="1:16" ht="32.25" thickBot="1" x14ac:dyDescent="0.25">
      <c r="A397" s="133"/>
      <c r="B397" s="216" t="s">
        <v>35</v>
      </c>
      <c r="C397" s="169" t="s">
        <v>403</v>
      </c>
      <c r="D397" s="218" t="s">
        <v>36</v>
      </c>
      <c r="E397" s="218"/>
      <c r="F397" s="219">
        <v>764.9</v>
      </c>
      <c r="G397" s="219"/>
      <c r="H397" s="219">
        <f>SUM(F397)+G397</f>
        <v>764.9</v>
      </c>
      <c r="I397" s="220"/>
      <c r="J397" s="220"/>
      <c r="K397" s="220"/>
      <c r="L397" s="219">
        <f t="shared" si="100"/>
        <v>764.9</v>
      </c>
      <c r="M397" s="219">
        <f t="shared" si="100"/>
        <v>0</v>
      </c>
      <c r="N397" s="219">
        <f t="shared" si="100"/>
        <v>764.9</v>
      </c>
      <c r="O397" s="178">
        <f t="shared" si="87"/>
        <v>764.9</v>
      </c>
      <c r="P397" s="92">
        <f t="shared" si="88"/>
        <v>0</v>
      </c>
    </row>
    <row r="398" spans="1:16" ht="16.5" customHeight="1" thickBot="1" x14ac:dyDescent="0.25">
      <c r="A398" s="26" t="s">
        <v>404</v>
      </c>
      <c r="B398" s="447" t="s">
        <v>405</v>
      </c>
      <c r="C398" s="448"/>
      <c r="D398" s="449"/>
      <c r="E398" s="297"/>
      <c r="F398" s="222">
        <f>F399+F405+F411+F431</f>
        <v>55232.5</v>
      </c>
      <c r="G398" s="222">
        <f t="shared" ref="G398:N398" si="101">G399+G405+G411+G431</f>
        <v>2940.2999999999997</v>
      </c>
      <c r="H398" s="222">
        <f>H399+H405+H411+H431</f>
        <v>58172.799999999996</v>
      </c>
      <c r="I398" s="223">
        <f t="shared" si="101"/>
        <v>768.1</v>
      </c>
      <c r="J398" s="222">
        <f t="shared" si="101"/>
        <v>0</v>
      </c>
      <c r="K398" s="223">
        <f t="shared" si="101"/>
        <v>768.1</v>
      </c>
      <c r="L398" s="222">
        <f t="shared" si="101"/>
        <v>56000.6</v>
      </c>
      <c r="M398" s="222">
        <f t="shared" si="101"/>
        <v>2940.2999999999997</v>
      </c>
      <c r="N398" s="279">
        <f t="shared" si="101"/>
        <v>58940.899999999994</v>
      </c>
      <c r="O398" s="178">
        <f t="shared" si="87"/>
        <v>58940.9</v>
      </c>
      <c r="P398" s="92">
        <f t="shared" si="88"/>
        <v>0</v>
      </c>
    </row>
    <row r="399" spans="1:16" ht="31.5" x14ac:dyDescent="0.2">
      <c r="A399" s="16" t="s">
        <v>406</v>
      </c>
      <c r="B399" s="224" t="s">
        <v>407</v>
      </c>
      <c r="C399" s="225" t="s">
        <v>408</v>
      </c>
      <c r="D399" s="226" t="s">
        <v>26</v>
      </c>
      <c r="E399" s="227"/>
      <c r="F399" s="228">
        <f t="shared" ref="F399:N401" si="102">F400</f>
        <v>2524.6999999999998</v>
      </c>
      <c r="G399" s="228">
        <f t="shared" si="102"/>
        <v>0</v>
      </c>
      <c r="H399" s="228">
        <f t="shared" si="102"/>
        <v>2524.6999999999998</v>
      </c>
      <c r="I399" s="229">
        <f t="shared" si="102"/>
        <v>0</v>
      </c>
      <c r="J399" s="228">
        <f>J400</f>
        <v>0</v>
      </c>
      <c r="K399" s="229">
        <f t="shared" si="102"/>
        <v>0</v>
      </c>
      <c r="L399" s="228">
        <f t="shared" si="102"/>
        <v>2524.6999999999998</v>
      </c>
      <c r="M399" s="228">
        <f t="shared" si="102"/>
        <v>0</v>
      </c>
      <c r="N399" s="228">
        <f t="shared" si="102"/>
        <v>2524.6999999999998</v>
      </c>
      <c r="O399" s="178">
        <f t="shared" si="87"/>
        <v>2524.6999999999998</v>
      </c>
      <c r="P399" s="92">
        <f t="shared" si="88"/>
        <v>0</v>
      </c>
    </row>
    <row r="400" spans="1:16" ht="22.15" customHeight="1" x14ac:dyDescent="0.2">
      <c r="A400" s="49"/>
      <c r="B400" s="190" t="s">
        <v>409</v>
      </c>
      <c r="C400" s="191" t="s">
        <v>410</v>
      </c>
      <c r="D400" s="192" t="s">
        <v>26</v>
      </c>
      <c r="E400" s="193"/>
      <c r="F400" s="230">
        <f>F401+F403</f>
        <v>2524.6999999999998</v>
      </c>
      <c r="G400" s="230">
        <f>G401+G403</f>
        <v>0</v>
      </c>
      <c r="H400" s="230">
        <f>H401+H403</f>
        <v>2524.6999999999998</v>
      </c>
      <c r="I400" s="231">
        <f t="shared" si="102"/>
        <v>0</v>
      </c>
      <c r="J400" s="230">
        <f>J401</f>
        <v>0</v>
      </c>
      <c r="K400" s="231">
        <f t="shared" si="102"/>
        <v>0</v>
      </c>
      <c r="L400" s="230">
        <f>L401+L403</f>
        <v>2524.6999999999998</v>
      </c>
      <c r="M400" s="230">
        <f>M401+M403</f>
        <v>0</v>
      </c>
      <c r="N400" s="230">
        <f>N401+N403</f>
        <v>2524.6999999999998</v>
      </c>
      <c r="O400" s="178">
        <f t="shared" si="87"/>
        <v>2524.6999999999998</v>
      </c>
      <c r="P400" s="92">
        <f t="shared" si="88"/>
        <v>0</v>
      </c>
    </row>
    <row r="401" spans="1:16" ht="31.5" x14ac:dyDescent="0.2">
      <c r="A401" s="42"/>
      <c r="B401" s="168" t="s">
        <v>93</v>
      </c>
      <c r="C401" s="169" t="s">
        <v>411</v>
      </c>
      <c r="D401" s="170" t="s">
        <v>26</v>
      </c>
      <c r="E401" s="171"/>
      <c r="F401" s="232">
        <f t="shared" si="102"/>
        <v>2268.1</v>
      </c>
      <c r="G401" s="232">
        <f t="shared" si="102"/>
        <v>0</v>
      </c>
      <c r="H401" s="232">
        <f t="shared" si="102"/>
        <v>2268.1</v>
      </c>
      <c r="I401" s="233">
        <f t="shared" si="102"/>
        <v>0</v>
      </c>
      <c r="J401" s="234"/>
      <c r="K401" s="233">
        <f t="shared" si="102"/>
        <v>0</v>
      </c>
      <c r="L401" s="232">
        <f t="shared" si="102"/>
        <v>2268.1</v>
      </c>
      <c r="M401" s="232">
        <f t="shared" si="102"/>
        <v>0</v>
      </c>
      <c r="N401" s="232">
        <f t="shared" si="102"/>
        <v>2268.1</v>
      </c>
      <c r="O401" s="178">
        <f t="shared" si="87"/>
        <v>2268.1</v>
      </c>
      <c r="P401" s="92">
        <f t="shared" si="88"/>
        <v>0</v>
      </c>
    </row>
    <row r="402" spans="1:16" ht="69" customHeight="1" x14ac:dyDescent="0.2">
      <c r="A402" s="42"/>
      <c r="B402" s="168" t="s">
        <v>31</v>
      </c>
      <c r="C402" s="169" t="s">
        <v>411</v>
      </c>
      <c r="D402" s="170" t="s">
        <v>32</v>
      </c>
      <c r="E402" s="171"/>
      <c r="F402" s="232">
        <v>2268.1</v>
      </c>
      <c r="G402" s="232"/>
      <c r="H402" s="232">
        <f>SUM(F402)</f>
        <v>2268.1</v>
      </c>
      <c r="I402" s="233">
        <v>0</v>
      </c>
      <c r="J402" s="234"/>
      <c r="K402" s="233">
        <v>0</v>
      </c>
      <c r="L402" s="232">
        <f t="shared" ref="L402:N404" si="103">SUM(F402)</f>
        <v>2268.1</v>
      </c>
      <c r="M402" s="232">
        <f t="shared" si="103"/>
        <v>0</v>
      </c>
      <c r="N402" s="232">
        <f t="shared" si="103"/>
        <v>2268.1</v>
      </c>
      <c r="O402" s="178">
        <f t="shared" si="87"/>
        <v>2268.1</v>
      </c>
      <c r="P402" s="92">
        <f t="shared" si="88"/>
        <v>0</v>
      </c>
    </row>
    <row r="403" spans="1:16" ht="69" customHeight="1" x14ac:dyDescent="0.2">
      <c r="A403" s="42"/>
      <c r="B403" s="168" t="s">
        <v>502</v>
      </c>
      <c r="C403" s="169" t="s">
        <v>501</v>
      </c>
      <c r="D403" s="170"/>
      <c r="E403" s="171"/>
      <c r="F403" s="232">
        <f>SUM(F404)</f>
        <v>256.60000000000002</v>
      </c>
      <c r="G403" s="232">
        <f>SUM(G404)</f>
        <v>0</v>
      </c>
      <c r="H403" s="232">
        <f>SUM(G403)+F403</f>
        <v>256.60000000000002</v>
      </c>
      <c r="I403" s="233"/>
      <c r="J403" s="234"/>
      <c r="K403" s="233"/>
      <c r="L403" s="232">
        <f t="shared" si="103"/>
        <v>256.60000000000002</v>
      </c>
      <c r="M403" s="232">
        <f t="shared" si="103"/>
        <v>0</v>
      </c>
      <c r="N403" s="232">
        <f t="shared" si="103"/>
        <v>256.60000000000002</v>
      </c>
      <c r="O403" s="178"/>
      <c r="P403" s="92"/>
    </row>
    <row r="404" spans="1:16" ht="69" customHeight="1" x14ac:dyDescent="0.2">
      <c r="A404" s="42"/>
      <c r="B404" s="168" t="s">
        <v>31</v>
      </c>
      <c r="C404" s="169" t="s">
        <v>501</v>
      </c>
      <c r="D404" s="170" t="s">
        <v>32</v>
      </c>
      <c r="E404" s="171"/>
      <c r="F404" s="232">
        <v>256.60000000000002</v>
      </c>
      <c r="G404" s="232"/>
      <c r="H404" s="232">
        <f>SUM(G404)+F404</f>
        <v>256.60000000000002</v>
      </c>
      <c r="I404" s="233"/>
      <c r="J404" s="234"/>
      <c r="K404" s="233"/>
      <c r="L404" s="232">
        <f t="shared" si="103"/>
        <v>256.60000000000002</v>
      </c>
      <c r="M404" s="232">
        <f t="shared" si="103"/>
        <v>0</v>
      </c>
      <c r="N404" s="232">
        <f t="shared" si="103"/>
        <v>256.60000000000002</v>
      </c>
      <c r="O404" s="178"/>
      <c r="P404" s="92"/>
    </row>
    <row r="405" spans="1:16" ht="31.5" x14ac:dyDescent="0.2">
      <c r="A405" s="19" t="s">
        <v>412</v>
      </c>
      <c r="B405" s="182" t="s">
        <v>413</v>
      </c>
      <c r="C405" s="183" t="s">
        <v>414</v>
      </c>
      <c r="D405" s="184" t="s">
        <v>26</v>
      </c>
      <c r="E405" s="185"/>
      <c r="F405" s="235">
        <f t="shared" ref="F405:N405" si="104">F406</f>
        <v>1601.8999999999999</v>
      </c>
      <c r="G405" s="235">
        <f t="shared" si="104"/>
        <v>0</v>
      </c>
      <c r="H405" s="235">
        <f t="shared" si="104"/>
        <v>1601.8999999999999</v>
      </c>
      <c r="I405" s="236">
        <f t="shared" si="104"/>
        <v>0</v>
      </c>
      <c r="J405" s="235">
        <f t="shared" si="104"/>
        <v>0</v>
      </c>
      <c r="K405" s="236">
        <f t="shared" si="104"/>
        <v>0</v>
      </c>
      <c r="L405" s="235">
        <f t="shared" si="104"/>
        <v>1601.8999999999999</v>
      </c>
      <c r="M405" s="235">
        <f t="shared" si="104"/>
        <v>0</v>
      </c>
      <c r="N405" s="235">
        <f t="shared" si="104"/>
        <v>1601.8999999999999</v>
      </c>
      <c r="O405" s="178">
        <f t="shared" si="87"/>
        <v>1601.8999999999999</v>
      </c>
      <c r="P405" s="92">
        <f t="shared" si="88"/>
        <v>0</v>
      </c>
    </row>
    <row r="406" spans="1:16" ht="31.5" x14ac:dyDescent="0.2">
      <c r="A406" s="49"/>
      <c r="B406" s="190" t="s">
        <v>415</v>
      </c>
      <c r="C406" s="191" t="s">
        <v>416</v>
      </c>
      <c r="D406" s="192" t="s">
        <v>26</v>
      </c>
      <c r="E406" s="193"/>
      <c r="F406" s="230">
        <f t="shared" ref="F406:N406" si="105">F407+F409</f>
        <v>1601.8999999999999</v>
      </c>
      <c r="G406" s="230">
        <f t="shared" si="105"/>
        <v>0</v>
      </c>
      <c r="H406" s="230">
        <f t="shared" si="105"/>
        <v>1601.8999999999999</v>
      </c>
      <c r="I406" s="231">
        <f t="shared" si="105"/>
        <v>0</v>
      </c>
      <c r="J406" s="230">
        <f t="shared" si="105"/>
        <v>0</v>
      </c>
      <c r="K406" s="231">
        <f t="shared" si="105"/>
        <v>0</v>
      </c>
      <c r="L406" s="230">
        <f t="shared" si="105"/>
        <v>1601.8999999999999</v>
      </c>
      <c r="M406" s="230">
        <f t="shared" si="105"/>
        <v>0</v>
      </c>
      <c r="N406" s="230">
        <f t="shared" si="105"/>
        <v>1601.8999999999999</v>
      </c>
      <c r="O406" s="178">
        <f t="shared" si="87"/>
        <v>1601.8999999999999</v>
      </c>
      <c r="P406" s="92">
        <f t="shared" si="88"/>
        <v>0</v>
      </c>
    </row>
    <row r="407" spans="1:16" ht="31.5" x14ac:dyDescent="0.2">
      <c r="A407" s="42"/>
      <c r="B407" s="168" t="s">
        <v>93</v>
      </c>
      <c r="C407" s="169" t="s">
        <v>417</v>
      </c>
      <c r="D407" s="170" t="s">
        <v>26</v>
      </c>
      <c r="E407" s="171"/>
      <c r="F407" s="232">
        <f>F408</f>
        <v>8.1</v>
      </c>
      <c r="G407" s="232">
        <f>G408</f>
        <v>0</v>
      </c>
      <c r="H407" s="232">
        <f>H408</f>
        <v>8.1</v>
      </c>
      <c r="I407" s="233">
        <f>I408</f>
        <v>0</v>
      </c>
      <c r="J407" s="234"/>
      <c r="K407" s="233">
        <f>K408</f>
        <v>0</v>
      </c>
      <c r="L407" s="232">
        <f>L408</f>
        <v>8.1</v>
      </c>
      <c r="M407" s="232">
        <f>M408</f>
        <v>0</v>
      </c>
      <c r="N407" s="232">
        <f>N408</f>
        <v>8.1</v>
      </c>
      <c r="O407" s="178">
        <f t="shared" si="87"/>
        <v>8.1</v>
      </c>
      <c r="P407" s="92">
        <f t="shared" si="88"/>
        <v>0</v>
      </c>
    </row>
    <row r="408" spans="1:16" ht="31.5" x14ac:dyDescent="0.2">
      <c r="A408" s="42"/>
      <c r="B408" s="168" t="s">
        <v>35</v>
      </c>
      <c r="C408" s="169" t="s">
        <v>417</v>
      </c>
      <c r="D408" s="170" t="s">
        <v>36</v>
      </c>
      <c r="E408" s="171"/>
      <c r="F408" s="232">
        <f>8+0.1</f>
        <v>8.1</v>
      </c>
      <c r="G408" s="232"/>
      <c r="H408" s="232">
        <f>8+0.1</f>
        <v>8.1</v>
      </c>
      <c r="I408" s="233">
        <v>0</v>
      </c>
      <c r="J408" s="234"/>
      <c r="K408" s="233">
        <v>0</v>
      </c>
      <c r="L408" s="232">
        <f>8+0.1</f>
        <v>8.1</v>
      </c>
      <c r="M408" s="232"/>
      <c r="N408" s="232">
        <f>8+0.1</f>
        <v>8.1</v>
      </c>
      <c r="O408" s="178">
        <f t="shared" si="87"/>
        <v>8.1</v>
      </c>
      <c r="P408" s="92">
        <f t="shared" si="88"/>
        <v>0</v>
      </c>
    </row>
    <row r="409" spans="1:16" ht="50.45" customHeight="1" x14ac:dyDescent="0.2">
      <c r="A409" s="42"/>
      <c r="B409" s="168" t="s">
        <v>418</v>
      </c>
      <c r="C409" s="169" t="s">
        <v>419</v>
      </c>
      <c r="D409" s="170" t="s">
        <v>26</v>
      </c>
      <c r="E409" s="171"/>
      <c r="F409" s="232">
        <f>F410</f>
        <v>1593.8</v>
      </c>
      <c r="G409" s="232">
        <f>G410</f>
        <v>0</v>
      </c>
      <c r="H409" s="232">
        <f>H410</f>
        <v>1593.8</v>
      </c>
      <c r="I409" s="233">
        <f>I410</f>
        <v>0</v>
      </c>
      <c r="J409" s="234"/>
      <c r="K409" s="233">
        <f>K410</f>
        <v>0</v>
      </c>
      <c r="L409" s="232">
        <f>L410</f>
        <v>1593.8</v>
      </c>
      <c r="M409" s="232">
        <f>M410</f>
        <v>0</v>
      </c>
      <c r="N409" s="232">
        <f>N410</f>
        <v>1593.8</v>
      </c>
      <c r="O409" s="178">
        <f t="shared" si="87"/>
        <v>1593.8</v>
      </c>
      <c r="P409" s="92">
        <f t="shared" si="88"/>
        <v>0</v>
      </c>
    </row>
    <row r="410" spans="1:16" ht="18.75" x14ac:dyDescent="0.2">
      <c r="A410" s="42"/>
      <c r="B410" s="168" t="s">
        <v>278</v>
      </c>
      <c r="C410" s="169" t="s">
        <v>419</v>
      </c>
      <c r="D410" s="170" t="s">
        <v>279</v>
      </c>
      <c r="E410" s="171"/>
      <c r="F410" s="232">
        <v>1593.8</v>
      </c>
      <c r="G410" s="232"/>
      <c r="H410" s="232">
        <f>SUM(F410)</f>
        <v>1593.8</v>
      </c>
      <c r="I410" s="233">
        <v>0</v>
      </c>
      <c r="J410" s="234"/>
      <c r="K410" s="233">
        <v>0</v>
      </c>
      <c r="L410" s="232">
        <f>SUM(F410)</f>
        <v>1593.8</v>
      </c>
      <c r="M410" s="232">
        <f>SUM(G410)</f>
        <v>0</v>
      </c>
      <c r="N410" s="232">
        <f>SUM(H410)</f>
        <v>1593.8</v>
      </c>
      <c r="O410" s="178">
        <f t="shared" si="87"/>
        <v>1593.8</v>
      </c>
      <c r="P410" s="92">
        <f t="shared" si="88"/>
        <v>0</v>
      </c>
    </row>
    <row r="411" spans="1:16" ht="31.5" x14ac:dyDescent="0.2">
      <c r="A411" s="19" t="s">
        <v>420</v>
      </c>
      <c r="B411" s="182" t="s">
        <v>421</v>
      </c>
      <c r="C411" s="183" t="s">
        <v>422</v>
      </c>
      <c r="D411" s="184" t="s">
        <v>26</v>
      </c>
      <c r="E411" s="185"/>
      <c r="F411" s="235">
        <f t="shared" ref="F411:N411" si="106">F412+F421+F427</f>
        <v>49749.599999999999</v>
      </c>
      <c r="G411" s="235">
        <f t="shared" si="106"/>
        <v>2360.7999999999997</v>
      </c>
      <c r="H411" s="235">
        <f t="shared" si="106"/>
        <v>52110.399999999994</v>
      </c>
      <c r="I411" s="236">
        <f t="shared" si="106"/>
        <v>768.1</v>
      </c>
      <c r="J411" s="235">
        <f t="shared" si="106"/>
        <v>0</v>
      </c>
      <c r="K411" s="236">
        <f t="shared" si="106"/>
        <v>768.1</v>
      </c>
      <c r="L411" s="235">
        <f t="shared" si="106"/>
        <v>50517.7</v>
      </c>
      <c r="M411" s="235">
        <f t="shared" si="106"/>
        <v>2360.7999999999997</v>
      </c>
      <c r="N411" s="235">
        <f t="shared" si="106"/>
        <v>52878.499999999993</v>
      </c>
      <c r="O411" s="178">
        <f t="shared" si="87"/>
        <v>52878.5</v>
      </c>
      <c r="P411" s="92">
        <f t="shared" si="88"/>
        <v>0</v>
      </c>
    </row>
    <row r="412" spans="1:16" ht="31.5" x14ac:dyDescent="0.2">
      <c r="A412" s="49"/>
      <c r="B412" s="190" t="s">
        <v>423</v>
      </c>
      <c r="C412" s="191" t="s">
        <v>424</v>
      </c>
      <c r="D412" s="192" t="s">
        <v>26</v>
      </c>
      <c r="E412" s="193"/>
      <c r="F412" s="230">
        <f>F413+F419</f>
        <v>44056.6</v>
      </c>
      <c r="G412" s="230">
        <f>G413+G415+G419</f>
        <v>2360.7999999999997</v>
      </c>
      <c r="H412" s="230">
        <f>H413+H419</f>
        <v>46417.399999999994</v>
      </c>
      <c r="I412" s="231">
        <f t="shared" ref="I412:K412" si="107">I413</f>
        <v>0</v>
      </c>
      <c r="J412" s="230">
        <f t="shared" si="107"/>
        <v>0</v>
      </c>
      <c r="K412" s="231">
        <f t="shared" si="107"/>
        <v>0</v>
      </c>
      <c r="L412" s="230">
        <f>L413+L419</f>
        <v>44056.6</v>
      </c>
      <c r="M412" s="230">
        <f>M413+M415+M419</f>
        <v>2360.7999999999997</v>
      </c>
      <c r="N412" s="230">
        <f>N413+N419</f>
        <v>46417.399999999994</v>
      </c>
      <c r="O412" s="178">
        <f t="shared" si="87"/>
        <v>46417.4</v>
      </c>
      <c r="P412" s="92">
        <f t="shared" si="88"/>
        <v>0</v>
      </c>
    </row>
    <row r="413" spans="1:16" ht="31.5" x14ac:dyDescent="0.2">
      <c r="A413" s="42"/>
      <c r="B413" s="168" t="s">
        <v>93</v>
      </c>
      <c r="C413" s="169" t="s">
        <v>425</v>
      </c>
      <c r="D413" s="170" t="s">
        <v>26</v>
      </c>
      <c r="E413" s="171"/>
      <c r="F413" s="232">
        <f>F414+F417+F418</f>
        <v>35728.5</v>
      </c>
      <c r="G413" s="232">
        <f>G414+G417+G418</f>
        <v>2360.7999999999997</v>
      </c>
      <c r="H413" s="232">
        <f>H414+H417+H418</f>
        <v>38089.299999999996</v>
      </c>
      <c r="I413" s="233">
        <f>I414+I417+I418</f>
        <v>0</v>
      </c>
      <c r="J413" s="234"/>
      <c r="K413" s="233">
        <f>K414+K417+K418</f>
        <v>0</v>
      </c>
      <c r="L413" s="232">
        <f>L414+L417+L418</f>
        <v>35728.5</v>
      </c>
      <c r="M413" s="232">
        <f>SUM(G413)</f>
        <v>2360.7999999999997</v>
      </c>
      <c r="N413" s="232">
        <f>N414+N417+N418</f>
        <v>38089.299999999996</v>
      </c>
      <c r="O413" s="178">
        <f t="shared" ref="O413:O469" si="108">L413+M413</f>
        <v>38089.300000000003</v>
      </c>
      <c r="P413" s="92">
        <f t="shared" ref="P413:P469" si="109">O413-N413</f>
        <v>0</v>
      </c>
    </row>
    <row r="414" spans="1:16" ht="64.5" customHeight="1" x14ac:dyDescent="0.2">
      <c r="A414" s="42"/>
      <c r="B414" s="168" t="s">
        <v>31</v>
      </c>
      <c r="C414" s="169" t="s">
        <v>425</v>
      </c>
      <c r="D414" s="170" t="s">
        <v>32</v>
      </c>
      <c r="E414" s="171"/>
      <c r="F414" s="232">
        <v>35427.800000000003</v>
      </c>
      <c r="G414" s="232">
        <v>2172.6999999999998</v>
      </c>
      <c r="H414" s="232">
        <f>SUM(F414)+G414</f>
        <v>37600.5</v>
      </c>
      <c r="I414" s="233">
        <v>0</v>
      </c>
      <c r="J414" s="234"/>
      <c r="K414" s="233">
        <v>0</v>
      </c>
      <c r="L414" s="232">
        <f t="shared" ref="L414:M418" si="110">SUM(F414)</f>
        <v>35427.800000000003</v>
      </c>
      <c r="M414" s="232">
        <f t="shared" si="110"/>
        <v>2172.6999999999998</v>
      </c>
      <c r="N414" s="232">
        <f>SUM(M414)+L414</f>
        <v>37600.5</v>
      </c>
      <c r="O414" s="178">
        <f t="shared" si="108"/>
        <v>37600.5</v>
      </c>
      <c r="P414" s="92">
        <f t="shared" si="109"/>
        <v>0</v>
      </c>
    </row>
    <row r="415" spans="1:16" ht="69.75" hidden="1" customHeight="1" x14ac:dyDescent="0.2">
      <c r="A415" s="42"/>
      <c r="B415" s="168" t="s">
        <v>502</v>
      </c>
      <c r="C415" s="169" t="s">
        <v>503</v>
      </c>
      <c r="D415" s="170"/>
      <c r="E415" s="171"/>
      <c r="F415" s="232"/>
      <c r="G415" s="232">
        <f>SUM(G416)</f>
        <v>0</v>
      </c>
      <c r="H415" s="232">
        <f>SUM(G415)</f>
        <v>0</v>
      </c>
      <c r="I415" s="233"/>
      <c r="J415" s="234"/>
      <c r="K415" s="233"/>
      <c r="L415" s="232"/>
      <c r="M415" s="232">
        <f>SUM(G415)</f>
        <v>0</v>
      </c>
      <c r="N415" s="232">
        <f>SUM(H415)</f>
        <v>0</v>
      </c>
      <c r="O415" s="178"/>
      <c r="P415" s="92"/>
    </row>
    <row r="416" spans="1:16" ht="69.75" hidden="1" customHeight="1" x14ac:dyDescent="0.2">
      <c r="A416" s="42"/>
      <c r="B416" s="168" t="s">
        <v>31</v>
      </c>
      <c r="C416" s="169" t="s">
        <v>503</v>
      </c>
      <c r="D416" s="170" t="s">
        <v>32</v>
      </c>
      <c r="E416" s="171"/>
      <c r="F416" s="232"/>
      <c r="G416" s="232"/>
      <c r="H416" s="232">
        <f>SUM(G416)</f>
        <v>0</v>
      </c>
      <c r="I416" s="233"/>
      <c r="J416" s="234"/>
      <c r="K416" s="233"/>
      <c r="L416" s="232"/>
      <c r="M416" s="232">
        <f>SUM(G416)</f>
        <v>0</v>
      </c>
      <c r="N416" s="232">
        <f>SUM(H416)</f>
        <v>0</v>
      </c>
      <c r="O416" s="178"/>
      <c r="P416" s="92"/>
    </row>
    <row r="417" spans="1:16" ht="31.5" x14ac:dyDescent="0.2">
      <c r="A417" s="42"/>
      <c r="B417" s="168" t="s">
        <v>35</v>
      </c>
      <c r="C417" s="169" t="s">
        <v>425</v>
      </c>
      <c r="D417" s="170" t="s">
        <v>36</v>
      </c>
      <c r="E417" s="171"/>
      <c r="F417" s="232">
        <v>260.7</v>
      </c>
      <c r="G417" s="232"/>
      <c r="H417" s="232">
        <v>260.7</v>
      </c>
      <c r="I417" s="233">
        <v>0</v>
      </c>
      <c r="J417" s="234"/>
      <c r="K417" s="233">
        <v>0</v>
      </c>
      <c r="L417" s="232">
        <f t="shared" si="110"/>
        <v>260.7</v>
      </c>
      <c r="M417" s="232">
        <f t="shared" si="110"/>
        <v>0</v>
      </c>
      <c r="N417" s="232">
        <f>SUM(H417)</f>
        <v>260.7</v>
      </c>
      <c r="O417" s="178">
        <f t="shared" si="108"/>
        <v>260.7</v>
      </c>
      <c r="P417" s="92">
        <f t="shared" si="109"/>
        <v>0</v>
      </c>
    </row>
    <row r="418" spans="1:16" ht="18.75" x14ac:dyDescent="0.2">
      <c r="A418" s="42"/>
      <c r="B418" s="168" t="s">
        <v>41</v>
      </c>
      <c r="C418" s="169" t="s">
        <v>425</v>
      </c>
      <c r="D418" s="170" t="s">
        <v>42</v>
      </c>
      <c r="E418" s="171"/>
      <c r="F418" s="232">
        <v>40</v>
      </c>
      <c r="G418" s="232">
        <v>188.1</v>
      </c>
      <c r="H418" s="232">
        <f>SUM(F418)+G418</f>
        <v>228.1</v>
      </c>
      <c r="I418" s="233">
        <v>0</v>
      </c>
      <c r="J418" s="234"/>
      <c r="K418" s="233">
        <v>0</v>
      </c>
      <c r="L418" s="232">
        <f t="shared" si="110"/>
        <v>40</v>
      </c>
      <c r="M418" s="232">
        <f t="shared" si="110"/>
        <v>188.1</v>
      </c>
      <c r="N418" s="232">
        <f>SUM(H418)</f>
        <v>228.1</v>
      </c>
      <c r="O418" s="178">
        <f t="shared" si="108"/>
        <v>228.1</v>
      </c>
      <c r="P418" s="92">
        <f t="shared" si="109"/>
        <v>0</v>
      </c>
    </row>
    <row r="419" spans="1:16" ht="78.75" x14ac:dyDescent="0.2">
      <c r="A419" s="42"/>
      <c r="B419" s="168" t="s">
        <v>502</v>
      </c>
      <c r="C419" s="169" t="s">
        <v>503</v>
      </c>
      <c r="D419" s="170"/>
      <c r="E419" s="171"/>
      <c r="F419" s="232">
        <f>SUM(F420)</f>
        <v>8328.1</v>
      </c>
      <c r="G419" s="232">
        <f>SUM(G420)</f>
        <v>0</v>
      </c>
      <c r="H419" s="232">
        <f>SUM(G419)+F419</f>
        <v>8328.1</v>
      </c>
      <c r="I419" s="233"/>
      <c r="J419" s="234"/>
      <c r="K419" s="233"/>
      <c r="L419" s="234">
        <f>SUM(F419)</f>
        <v>8328.1</v>
      </c>
      <c r="M419" s="232">
        <f>SUM(G419)</f>
        <v>0</v>
      </c>
      <c r="N419" s="234">
        <f>SUM(H419)</f>
        <v>8328.1</v>
      </c>
      <c r="O419" s="178"/>
      <c r="P419" s="92"/>
    </row>
    <row r="420" spans="1:16" ht="63" x14ac:dyDescent="0.2">
      <c r="A420" s="42"/>
      <c r="B420" s="168" t="s">
        <v>31</v>
      </c>
      <c r="C420" s="169" t="s">
        <v>503</v>
      </c>
      <c r="D420" s="170" t="s">
        <v>32</v>
      </c>
      <c r="E420" s="171"/>
      <c r="F420" s="232">
        <v>8328.1</v>
      </c>
      <c r="G420" s="232"/>
      <c r="H420" s="232">
        <f>SUM(G420)+F420</f>
        <v>8328.1</v>
      </c>
      <c r="I420" s="233"/>
      <c r="J420" s="234"/>
      <c r="K420" s="233"/>
      <c r="L420" s="234">
        <f>SUM(F420)</f>
        <v>8328.1</v>
      </c>
      <c r="M420" s="232">
        <f>SUM(G420)</f>
        <v>0</v>
      </c>
      <c r="N420" s="234">
        <f>SUM(H420)</f>
        <v>8328.1</v>
      </c>
      <c r="O420" s="178"/>
      <c r="P420" s="92"/>
    </row>
    <row r="421" spans="1:16" ht="21.6" customHeight="1" x14ac:dyDescent="0.2">
      <c r="A421" s="49"/>
      <c r="B421" s="190" t="s">
        <v>426</v>
      </c>
      <c r="C421" s="191" t="s">
        <v>427</v>
      </c>
      <c r="D421" s="192" t="s">
        <v>26</v>
      </c>
      <c r="E421" s="193"/>
      <c r="F421" s="230">
        <f>F425</f>
        <v>0</v>
      </c>
      <c r="G421" s="230">
        <f>G425</f>
        <v>0</v>
      </c>
      <c r="H421" s="230">
        <f>H425</f>
        <v>0</v>
      </c>
      <c r="I421" s="231">
        <f>I425+I422</f>
        <v>768.1</v>
      </c>
      <c r="J421" s="278"/>
      <c r="K421" s="231">
        <f>K425+K422</f>
        <v>768.1</v>
      </c>
      <c r="L421" s="231">
        <f>L425+L422</f>
        <v>768.1</v>
      </c>
      <c r="M421" s="230">
        <f>M425</f>
        <v>0</v>
      </c>
      <c r="N421" s="231">
        <f>N425+N422</f>
        <v>768.1</v>
      </c>
      <c r="O421" s="178">
        <f t="shared" si="108"/>
        <v>768.1</v>
      </c>
      <c r="P421" s="92">
        <f t="shared" si="109"/>
        <v>0</v>
      </c>
    </row>
    <row r="422" spans="1:16" ht="125.45" customHeight="1" x14ac:dyDescent="0.2">
      <c r="A422" s="49"/>
      <c r="B422" s="237" t="s">
        <v>428</v>
      </c>
      <c r="C422" s="169" t="s">
        <v>429</v>
      </c>
      <c r="D422" s="170"/>
      <c r="E422" s="171"/>
      <c r="F422" s="232"/>
      <c r="G422" s="232"/>
      <c r="H422" s="232"/>
      <c r="I422" s="233">
        <f>SUM(I423+I424)</f>
        <v>755.7</v>
      </c>
      <c r="J422" s="234"/>
      <c r="K422" s="233">
        <f>SUM(I422)</f>
        <v>755.7</v>
      </c>
      <c r="L422" s="233">
        <f>SUM(L423+L424)</f>
        <v>755.7</v>
      </c>
      <c r="M422" s="232"/>
      <c r="N422" s="233">
        <f>SUM(N423+N424)</f>
        <v>755.7</v>
      </c>
      <c r="O422" s="178">
        <f t="shared" si="108"/>
        <v>755.7</v>
      </c>
      <c r="P422" s="92">
        <f t="shared" si="109"/>
        <v>0</v>
      </c>
    </row>
    <row r="423" spans="1:16" ht="66" customHeight="1" x14ac:dyDescent="0.2">
      <c r="A423" s="49"/>
      <c r="B423" s="168" t="s">
        <v>31</v>
      </c>
      <c r="C423" s="169" t="s">
        <v>429</v>
      </c>
      <c r="D423" s="170" t="s">
        <v>32</v>
      </c>
      <c r="E423" s="171"/>
      <c r="F423" s="232"/>
      <c r="G423" s="232"/>
      <c r="H423" s="232"/>
      <c r="I423" s="233">
        <v>755.7</v>
      </c>
      <c r="J423" s="234"/>
      <c r="K423" s="233">
        <v>755.7</v>
      </c>
      <c r="L423" s="233">
        <f>F423+I423</f>
        <v>755.7</v>
      </c>
      <c r="M423" s="232">
        <f>SUM(J423)</f>
        <v>0</v>
      </c>
      <c r="N423" s="233">
        <f>H423+K423</f>
        <v>755.7</v>
      </c>
      <c r="O423" s="178">
        <f t="shared" si="108"/>
        <v>755.7</v>
      </c>
      <c r="P423" s="92">
        <f t="shared" si="109"/>
        <v>0</v>
      </c>
    </row>
    <row r="424" spans="1:16" ht="23.45" customHeight="1" x14ac:dyDescent="0.2">
      <c r="A424" s="49"/>
      <c r="B424" s="168" t="s">
        <v>35</v>
      </c>
      <c r="C424" s="169" t="s">
        <v>429</v>
      </c>
      <c r="D424" s="170" t="s">
        <v>36</v>
      </c>
      <c r="E424" s="171"/>
      <c r="F424" s="232"/>
      <c r="G424" s="232"/>
      <c r="H424" s="232"/>
      <c r="I424" s="233">
        <v>0</v>
      </c>
      <c r="J424" s="234"/>
      <c r="K424" s="233">
        <v>0</v>
      </c>
      <c r="L424" s="233">
        <f>F424+I424</f>
        <v>0</v>
      </c>
      <c r="M424" s="232">
        <f>SUM(J424)</f>
        <v>0</v>
      </c>
      <c r="N424" s="233">
        <f>H424+K424</f>
        <v>0</v>
      </c>
      <c r="O424" s="178">
        <f t="shared" si="108"/>
        <v>0</v>
      </c>
      <c r="P424" s="92">
        <f t="shared" si="109"/>
        <v>0</v>
      </c>
    </row>
    <row r="425" spans="1:16" ht="47.25" x14ac:dyDescent="0.2">
      <c r="A425" s="42"/>
      <c r="B425" s="168" t="s">
        <v>430</v>
      </c>
      <c r="C425" s="169" t="s">
        <v>431</v>
      </c>
      <c r="D425" s="170" t="s">
        <v>26</v>
      </c>
      <c r="E425" s="171"/>
      <c r="F425" s="232">
        <f t="shared" ref="F425:N425" si="111">F426</f>
        <v>0</v>
      </c>
      <c r="G425" s="232">
        <f t="shared" si="111"/>
        <v>0</v>
      </c>
      <c r="H425" s="232">
        <f t="shared" si="111"/>
        <v>0</v>
      </c>
      <c r="I425" s="233">
        <f t="shared" si="111"/>
        <v>12.4</v>
      </c>
      <c r="J425" s="234"/>
      <c r="K425" s="233">
        <f t="shared" si="111"/>
        <v>12.4</v>
      </c>
      <c r="L425" s="232">
        <f t="shared" si="111"/>
        <v>12.4</v>
      </c>
      <c r="M425" s="232">
        <f t="shared" si="111"/>
        <v>0</v>
      </c>
      <c r="N425" s="232">
        <f t="shared" si="111"/>
        <v>12.4</v>
      </c>
      <c r="O425" s="178">
        <f t="shared" si="108"/>
        <v>12.4</v>
      </c>
      <c r="P425" s="92">
        <f t="shared" si="109"/>
        <v>0</v>
      </c>
    </row>
    <row r="426" spans="1:16" ht="31.5" x14ac:dyDescent="0.2">
      <c r="A426" s="42"/>
      <c r="B426" s="168" t="s">
        <v>35</v>
      </c>
      <c r="C426" s="169" t="s">
        <v>431</v>
      </c>
      <c r="D426" s="170" t="s">
        <v>36</v>
      </c>
      <c r="E426" s="171"/>
      <c r="F426" s="232">
        <v>0</v>
      </c>
      <c r="G426" s="232">
        <v>0</v>
      </c>
      <c r="H426" s="232">
        <v>0</v>
      </c>
      <c r="I426" s="233">
        <v>12.4</v>
      </c>
      <c r="J426" s="234"/>
      <c r="K426" s="233">
        <v>12.4</v>
      </c>
      <c r="L426" s="232">
        <v>12.4</v>
      </c>
      <c r="M426" s="232">
        <v>0</v>
      </c>
      <c r="N426" s="232">
        <v>12.4</v>
      </c>
      <c r="O426" s="178">
        <f t="shared" si="108"/>
        <v>12.4</v>
      </c>
      <c r="P426" s="92">
        <f t="shared" si="109"/>
        <v>0</v>
      </c>
    </row>
    <row r="427" spans="1:16" ht="18.75" x14ac:dyDescent="0.2">
      <c r="A427" s="49"/>
      <c r="B427" s="190" t="s">
        <v>432</v>
      </c>
      <c r="C427" s="191" t="s">
        <v>433</v>
      </c>
      <c r="D427" s="192" t="s">
        <v>26</v>
      </c>
      <c r="E427" s="193"/>
      <c r="F427" s="230">
        <f t="shared" ref="F427:N427" si="112">F428</f>
        <v>5693</v>
      </c>
      <c r="G427" s="230">
        <f t="shared" si="112"/>
        <v>0</v>
      </c>
      <c r="H427" s="230">
        <f t="shared" si="112"/>
        <v>5693</v>
      </c>
      <c r="I427" s="231">
        <f t="shared" si="112"/>
        <v>0</v>
      </c>
      <c r="J427" s="230">
        <f t="shared" si="112"/>
        <v>0</v>
      </c>
      <c r="K427" s="231">
        <f t="shared" si="112"/>
        <v>0</v>
      </c>
      <c r="L427" s="230">
        <f t="shared" si="112"/>
        <v>5693</v>
      </c>
      <c r="M427" s="230">
        <f t="shared" si="112"/>
        <v>0</v>
      </c>
      <c r="N427" s="230">
        <f t="shared" si="112"/>
        <v>5693</v>
      </c>
      <c r="O427" s="178">
        <f t="shared" si="108"/>
        <v>5693</v>
      </c>
      <c r="P427" s="92">
        <f t="shared" si="109"/>
        <v>0</v>
      </c>
    </row>
    <row r="428" spans="1:16" ht="31.5" x14ac:dyDescent="0.2">
      <c r="A428" s="42"/>
      <c r="B428" s="168" t="s">
        <v>434</v>
      </c>
      <c r="C428" s="169" t="s">
        <v>435</v>
      </c>
      <c r="D428" s="170" t="s">
        <v>26</v>
      </c>
      <c r="E428" s="171"/>
      <c r="F428" s="232">
        <f>F430+F429</f>
        <v>5693</v>
      </c>
      <c r="G428" s="232">
        <f>SUM(G430)+G429</f>
        <v>0</v>
      </c>
      <c r="H428" s="232">
        <f>H430+H429</f>
        <v>5693</v>
      </c>
      <c r="I428" s="233">
        <f>I430</f>
        <v>0</v>
      </c>
      <c r="J428" s="234"/>
      <c r="K428" s="233">
        <f>K430</f>
        <v>0</v>
      </c>
      <c r="L428" s="232">
        <f>SUM(F428)</f>
        <v>5693</v>
      </c>
      <c r="M428" s="232">
        <f>SUM(M430)+M429</f>
        <v>0</v>
      </c>
      <c r="N428" s="232">
        <f>SUM(H428)</f>
        <v>5693</v>
      </c>
      <c r="O428" s="178">
        <f t="shared" si="108"/>
        <v>5693</v>
      </c>
      <c r="P428" s="92">
        <f t="shared" si="109"/>
        <v>0</v>
      </c>
    </row>
    <row r="429" spans="1:16" ht="31.5" x14ac:dyDescent="0.2">
      <c r="A429" s="42"/>
      <c r="B429" s="168" t="s">
        <v>35</v>
      </c>
      <c r="C429" s="169" t="s">
        <v>435</v>
      </c>
      <c r="D429" s="170" t="s">
        <v>36</v>
      </c>
      <c r="E429" s="171"/>
      <c r="F429" s="232">
        <v>3889</v>
      </c>
      <c r="G429" s="232">
        <f>52.7+51.2</f>
        <v>103.9</v>
      </c>
      <c r="H429" s="232">
        <f>SUM(F429)+G429</f>
        <v>3992.9</v>
      </c>
      <c r="I429" s="233"/>
      <c r="J429" s="234"/>
      <c r="K429" s="233"/>
      <c r="L429" s="232">
        <f>SUM(F429)</f>
        <v>3889</v>
      </c>
      <c r="M429" s="232">
        <f>SUM(G429)</f>
        <v>103.9</v>
      </c>
      <c r="N429" s="232">
        <f>SUM(H429)</f>
        <v>3992.9</v>
      </c>
      <c r="O429" s="178">
        <f t="shared" si="108"/>
        <v>3992.9</v>
      </c>
      <c r="P429" s="92">
        <f t="shared" si="109"/>
        <v>0</v>
      </c>
    </row>
    <row r="430" spans="1:16" ht="18.75" x14ac:dyDescent="0.2">
      <c r="A430" s="42"/>
      <c r="B430" s="168" t="s">
        <v>41</v>
      </c>
      <c r="C430" s="169" t="s">
        <v>435</v>
      </c>
      <c r="D430" s="170" t="s">
        <v>42</v>
      </c>
      <c r="E430" s="171"/>
      <c r="F430" s="232">
        <v>1804</v>
      </c>
      <c r="G430" s="232">
        <f>-52.7-51.2</f>
        <v>-103.9</v>
      </c>
      <c r="H430" s="232">
        <f>F430+G430</f>
        <v>1700.1</v>
      </c>
      <c r="I430" s="233">
        <v>0</v>
      </c>
      <c r="J430" s="234"/>
      <c r="K430" s="233">
        <v>0</v>
      </c>
      <c r="L430" s="232">
        <f>F430</f>
        <v>1804</v>
      </c>
      <c r="M430" s="232">
        <f>SUM(G430)</f>
        <v>-103.9</v>
      </c>
      <c r="N430" s="232">
        <f>L430+M430</f>
        <v>1700.1</v>
      </c>
      <c r="O430" s="178">
        <f t="shared" si="108"/>
        <v>1700.1</v>
      </c>
      <c r="P430" s="92">
        <f t="shared" si="109"/>
        <v>0</v>
      </c>
    </row>
    <row r="431" spans="1:16" ht="37.15" customHeight="1" x14ac:dyDescent="0.2">
      <c r="A431" s="19" t="s">
        <v>436</v>
      </c>
      <c r="B431" s="182" t="s">
        <v>437</v>
      </c>
      <c r="C431" s="183" t="s">
        <v>438</v>
      </c>
      <c r="D431" s="184" t="s">
        <v>26</v>
      </c>
      <c r="E431" s="185"/>
      <c r="F431" s="235">
        <f>F435</f>
        <v>1356.3</v>
      </c>
      <c r="G431" s="238">
        <f>G435</f>
        <v>579.5</v>
      </c>
      <c r="H431" s="238">
        <f>H435</f>
        <v>1935.8</v>
      </c>
      <c r="I431" s="236">
        <f>I432</f>
        <v>0</v>
      </c>
      <c r="J431" s="239"/>
      <c r="K431" s="239"/>
      <c r="L431" s="239">
        <f>L435</f>
        <v>1356.3</v>
      </c>
      <c r="M431" s="239">
        <f>M435</f>
        <v>579.5</v>
      </c>
      <c r="N431" s="239">
        <f>N435</f>
        <v>1935.8</v>
      </c>
      <c r="O431" s="178">
        <f t="shared" si="108"/>
        <v>1935.8</v>
      </c>
      <c r="P431" s="92">
        <f t="shared" si="109"/>
        <v>0</v>
      </c>
    </row>
    <row r="432" spans="1:16" ht="27.6" hidden="1" customHeight="1" x14ac:dyDescent="0.2">
      <c r="A432" s="42"/>
      <c r="B432" s="168" t="s">
        <v>439</v>
      </c>
      <c r="C432" s="169" t="s">
        <v>440</v>
      </c>
      <c r="D432" s="170" t="s">
        <v>26</v>
      </c>
      <c r="E432" s="171"/>
      <c r="F432" s="232">
        <f>F433</f>
        <v>0</v>
      </c>
      <c r="G432" s="234"/>
      <c r="H432" s="234"/>
      <c r="I432" s="233">
        <f>I433</f>
        <v>0</v>
      </c>
      <c r="J432" s="240"/>
      <c r="K432" s="240"/>
      <c r="L432" s="240"/>
      <c r="M432" s="240"/>
      <c r="N432" s="240">
        <f>N433</f>
        <v>0</v>
      </c>
      <c r="O432" s="178">
        <f t="shared" si="108"/>
        <v>0</v>
      </c>
      <c r="P432" s="92">
        <f t="shared" si="109"/>
        <v>0</v>
      </c>
    </row>
    <row r="433" spans="1:16" ht="24.6" hidden="1" customHeight="1" x14ac:dyDescent="0.2">
      <c r="A433" s="42"/>
      <c r="B433" s="168" t="s">
        <v>441</v>
      </c>
      <c r="C433" s="169" t="s">
        <v>442</v>
      </c>
      <c r="D433" s="170" t="s">
        <v>26</v>
      </c>
      <c r="E433" s="171"/>
      <c r="F433" s="232"/>
      <c r="G433" s="234"/>
      <c r="H433" s="234"/>
      <c r="I433" s="233">
        <f>I439</f>
        <v>0</v>
      </c>
      <c r="J433" s="234"/>
      <c r="K433" s="234"/>
      <c r="L433" s="234"/>
      <c r="M433" s="234"/>
      <c r="N433" s="232"/>
      <c r="O433" s="178">
        <f t="shared" si="108"/>
        <v>0</v>
      </c>
      <c r="P433" s="92">
        <f t="shared" si="109"/>
        <v>0</v>
      </c>
    </row>
    <row r="434" spans="1:16" ht="28.15" hidden="1" customHeight="1" thickBot="1" x14ac:dyDescent="0.25">
      <c r="A434" s="57"/>
      <c r="B434" s="241" t="s">
        <v>41</v>
      </c>
      <c r="C434" s="242" t="s">
        <v>442</v>
      </c>
      <c r="D434" s="170" t="s">
        <v>42</v>
      </c>
      <c r="E434" s="171"/>
      <c r="F434" s="232"/>
      <c r="G434" s="234"/>
      <c r="H434" s="234"/>
      <c r="I434" s="233">
        <v>0</v>
      </c>
      <c r="J434" s="234"/>
      <c r="K434" s="234"/>
      <c r="L434" s="234"/>
      <c r="M434" s="234"/>
      <c r="N434" s="232"/>
      <c r="O434" s="178">
        <f t="shared" si="108"/>
        <v>0</v>
      </c>
      <c r="P434" s="92">
        <f t="shared" si="109"/>
        <v>0</v>
      </c>
    </row>
    <row r="435" spans="1:16" ht="31.5" x14ac:dyDescent="0.2">
      <c r="A435" s="57"/>
      <c r="B435" s="197" t="s">
        <v>439</v>
      </c>
      <c r="C435" s="218" t="s">
        <v>440</v>
      </c>
      <c r="D435" s="218"/>
      <c r="E435" s="218"/>
      <c r="F435" s="233">
        <v>1356.3</v>
      </c>
      <c r="G435" s="233">
        <f>SUM(G437)</f>
        <v>579.5</v>
      </c>
      <c r="H435" s="233">
        <f>SUM(F435)+G435</f>
        <v>1935.8</v>
      </c>
      <c r="I435" s="233"/>
      <c r="J435" s="233"/>
      <c r="K435" s="233"/>
      <c r="L435" s="233">
        <f>SUM(F435)</f>
        <v>1356.3</v>
      </c>
      <c r="M435" s="233">
        <f t="shared" ref="M435:N437" si="113">SUM(G435)</f>
        <v>579.5</v>
      </c>
      <c r="N435" s="233">
        <f t="shared" si="113"/>
        <v>1935.8</v>
      </c>
      <c r="O435" s="178">
        <f t="shared" si="108"/>
        <v>1935.8</v>
      </c>
      <c r="P435" s="92">
        <f t="shared" si="109"/>
        <v>0</v>
      </c>
    </row>
    <row r="436" spans="1:16" ht="31.5" x14ac:dyDescent="0.2">
      <c r="A436" s="57"/>
      <c r="B436" s="197" t="s">
        <v>441</v>
      </c>
      <c r="C436" s="199" t="s">
        <v>442</v>
      </c>
      <c r="D436" s="218"/>
      <c r="E436" s="218"/>
      <c r="F436" s="233">
        <v>1356.3</v>
      </c>
      <c r="G436" s="233">
        <f>SUM(G437)</f>
        <v>579.5</v>
      </c>
      <c r="H436" s="233">
        <f>SUM(F436)+G436</f>
        <v>1935.8</v>
      </c>
      <c r="I436" s="233"/>
      <c r="J436" s="233"/>
      <c r="K436" s="233"/>
      <c r="L436" s="233">
        <f>SUM(F436)</f>
        <v>1356.3</v>
      </c>
      <c r="M436" s="233">
        <f t="shared" si="113"/>
        <v>579.5</v>
      </c>
      <c r="N436" s="233">
        <f t="shared" si="113"/>
        <v>1935.8</v>
      </c>
      <c r="O436" s="178">
        <f t="shared" si="108"/>
        <v>1935.8</v>
      </c>
      <c r="P436" s="92">
        <f t="shared" si="109"/>
        <v>0</v>
      </c>
    </row>
    <row r="437" spans="1:16" ht="18.75" x14ac:dyDescent="0.2">
      <c r="A437" s="57"/>
      <c r="B437" s="168" t="s">
        <v>41</v>
      </c>
      <c r="C437" s="199" t="s">
        <v>442</v>
      </c>
      <c r="D437" s="218" t="s">
        <v>42</v>
      </c>
      <c r="E437" s="218"/>
      <c r="F437" s="233">
        <v>1356.3</v>
      </c>
      <c r="G437" s="233">
        <f>301.5+306.9-301.5+272.6</f>
        <v>579.5</v>
      </c>
      <c r="H437" s="233">
        <f>SUM(F437)+G437</f>
        <v>1935.8</v>
      </c>
      <c r="I437" s="233"/>
      <c r="J437" s="233"/>
      <c r="K437" s="233"/>
      <c r="L437" s="233">
        <f>SUM(F437)</f>
        <v>1356.3</v>
      </c>
      <c r="M437" s="233">
        <f t="shared" si="113"/>
        <v>579.5</v>
      </c>
      <c r="N437" s="233">
        <f t="shared" si="113"/>
        <v>1935.8</v>
      </c>
      <c r="O437" s="178">
        <f t="shared" si="108"/>
        <v>1935.8</v>
      </c>
      <c r="P437" s="92">
        <f t="shared" si="109"/>
        <v>0</v>
      </c>
    </row>
    <row r="438" spans="1:16" ht="34.15" customHeight="1" x14ac:dyDescent="0.2">
      <c r="A438" s="57"/>
      <c r="B438" s="450" t="s">
        <v>443</v>
      </c>
      <c r="C438" s="451"/>
      <c r="D438" s="451"/>
      <c r="E438" s="451"/>
      <c r="F438" s="451"/>
      <c r="G438" s="451"/>
      <c r="H438" s="451"/>
      <c r="I438" s="451"/>
      <c r="J438" s="451"/>
      <c r="K438" s="451"/>
      <c r="L438" s="451"/>
      <c r="M438" s="451"/>
      <c r="N438" s="451"/>
      <c r="O438" s="178">
        <f t="shared" si="108"/>
        <v>0</v>
      </c>
      <c r="P438" s="92">
        <f t="shared" si="109"/>
        <v>0</v>
      </c>
    </row>
    <row r="439" spans="1:16" ht="16.5" customHeight="1" thickBot="1" x14ac:dyDescent="0.25">
      <c r="A439" s="70"/>
      <c r="B439" s="452"/>
      <c r="C439" s="453"/>
      <c r="D439" s="453"/>
      <c r="E439" s="453"/>
      <c r="F439" s="453"/>
      <c r="G439" s="453"/>
      <c r="H439" s="453"/>
      <c r="I439" s="453"/>
      <c r="J439" s="453"/>
      <c r="K439" s="453"/>
      <c r="L439" s="453"/>
      <c r="M439" s="453"/>
      <c r="N439" s="453"/>
      <c r="O439" s="178">
        <f t="shared" si="108"/>
        <v>0</v>
      </c>
      <c r="P439" s="92">
        <f t="shared" si="109"/>
        <v>0</v>
      </c>
    </row>
    <row r="440" spans="1:16" ht="18.75" x14ac:dyDescent="0.2">
      <c r="B440" s="244"/>
      <c r="C440" s="244"/>
      <c r="D440" s="244"/>
      <c r="E440" s="244"/>
      <c r="F440" s="244"/>
      <c r="G440" s="244"/>
      <c r="H440" s="244"/>
      <c r="I440" s="244"/>
      <c r="J440" s="244"/>
      <c r="K440" s="244"/>
      <c r="L440" s="244"/>
      <c r="M440" s="244"/>
      <c r="N440" s="244"/>
      <c r="O440" s="178">
        <f t="shared" si="108"/>
        <v>0</v>
      </c>
      <c r="P440" s="92">
        <f t="shared" si="109"/>
        <v>0</v>
      </c>
    </row>
    <row r="441" spans="1:16" ht="18.75" x14ac:dyDescent="0.2">
      <c r="B441" s="244"/>
      <c r="C441" s="244"/>
      <c r="D441" s="244"/>
      <c r="E441" s="244"/>
      <c r="F441" s="244"/>
      <c r="G441" s="244"/>
      <c r="H441" s="244"/>
      <c r="I441" s="244"/>
      <c r="J441" s="244"/>
      <c r="K441" s="244"/>
      <c r="L441" s="244"/>
      <c r="M441" s="244"/>
      <c r="N441" s="244"/>
      <c r="O441" s="178">
        <f t="shared" si="108"/>
        <v>0</v>
      </c>
      <c r="P441" s="92">
        <f t="shared" si="109"/>
        <v>0</v>
      </c>
    </row>
    <row r="442" spans="1:16" ht="18.75" x14ac:dyDescent="0.2">
      <c r="B442" s="244"/>
      <c r="C442" s="244"/>
      <c r="D442" s="244"/>
      <c r="E442" s="244"/>
      <c r="F442" s="244"/>
      <c r="G442" s="244"/>
      <c r="H442" s="244"/>
      <c r="I442" s="244"/>
      <c r="J442" s="244"/>
      <c r="K442" s="244"/>
      <c r="L442" s="244"/>
      <c r="M442" s="244"/>
      <c r="N442" s="244"/>
      <c r="O442" s="178">
        <f t="shared" si="108"/>
        <v>0</v>
      </c>
      <c r="P442" s="92">
        <f t="shared" si="109"/>
        <v>0</v>
      </c>
    </row>
    <row r="443" spans="1:16" ht="18.75" x14ac:dyDescent="0.2">
      <c r="B443" s="244"/>
      <c r="C443" s="244"/>
      <c r="D443" s="244"/>
      <c r="E443" s="244"/>
      <c r="F443" s="244"/>
      <c r="G443" s="244"/>
      <c r="H443" s="244"/>
      <c r="I443" s="244"/>
      <c r="J443" s="244"/>
      <c r="K443" s="244"/>
      <c r="L443" s="244"/>
      <c r="M443" s="244"/>
      <c r="N443" s="244"/>
      <c r="O443" s="178">
        <f t="shared" si="108"/>
        <v>0</v>
      </c>
      <c r="P443" s="92">
        <f t="shared" si="109"/>
        <v>0</v>
      </c>
    </row>
    <row r="444" spans="1:16" ht="18.75" x14ac:dyDescent="0.2">
      <c r="B444" s="244"/>
      <c r="C444" s="244"/>
      <c r="D444" s="244"/>
      <c r="E444" s="244"/>
      <c r="F444" s="244"/>
      <c r="G444" s="244"/>
      <c r="H444" s="244"/>
      <c r="I444" s="244"/>
      <c r="J444" s="244"/>
      <c r="K444" s="244"/>
      <c r="L444" s="244"/>
      <c r="M444" s="244"/>
      <c r="N444" s="244"/>
      <c r="O444" s="178">
        <f t="shared" si="108"/>
        <v>0</v>
      </c>
      <c r="P444" s="92">
        <f t="shared" si="109"/>
        <v>0</v>
      </c>
    </row>
    <row r="445" spans="1:16" ht="18.75" x14ac:dyDescent="0.2">
      <c r="B445" s="244"/>
      <c r="C445" s="244"/>
      <c r="D445" s="244"/>
      <c r="E445" s="244"/>
      <c r="F445" s="244"/>
      <c r="G445" s="244"/>
      <c r="H445" s="244"/>
      <c r="I445" s="244"/>
      <c r="J445" s="244"/>
      <c r="K445" s="244"/>
      <c r="L445" s="244"/>
      <c r="M445" s="244"/>
      <c r="N445" s="244"/>
      <c r="O445" s="178">
        <f t="shared" si="108"/>
        <v>0</v>
      </c>
      <c r="P445" s="92">
        <f t="shared" si="109"/>
        <v>0</v>
      </c>
    </row>
    <row r="446" spans="1:16" ht="18.75" x14ac:dyDescent="0.2">
      <c r="B446" s="244"/>
      <c r="C446" s="244"/>
      <c r="D446" s="244"/>
      <c r="E446" s="244"/>
      <c r="F446" s="244"/>
      <c r="G446" s="244"/>
      <c r="H446" s="244"/>
      <c r="I446" s="244"/>
      <c r="J446" s="244"/>
      <c r="K446" s="244"/>
      <c r="L446" s="244"/>
      <c r="M446" s="244"/>
      <c r="N446" s="244"/>
      <c r="O446" s="178">
        <f t="shared" si="108"/>
        <v>0</v>
      </c>
      <c r="P446" s="92">
        <f t="shared" si="109"/>
        <v>0</v>
      </c>
    </row>
    <row r="447" spans="1:16" ht="18.75" x14ac:dyDescent="0.2">
      <c r="B447" s="244"/>
      <c r="C447" s="244"/>
      <c r="D447" s="244"/>
      <c r="E447" s="244"/>
      <c r="F447" s="244"/>
      <c r="G447" s="244"/>
      <c r="H447" s="244"/>
      <c r="I447" s="244"/>
      <c r="J447" s="244"/>
      <c r="K447" s="244"/>
      <c r="L447" s="244"/>
      <c r="M447" s="244"/>
      <c r="N447" s="244"/>
      <c r="O447" s="178">
        <f t="shared" si="108"/>
        <v>0</v>
      </c>
      <c r="P447" s="92">
        <f t="shared" si="109"/>
        <v>0</v>
      </c>
    </row>
    <row r="448" spans="1:16" ht="18.75" x14ac:dyDescent="0.2">
      <c r="B448" s="244"/>
      <c r="C448" s="244"/>
      <c r="D448" s="244"/>
      <c r="E448" s="244"/>
      <c r="F448" s="244"/>
      <c r="G448" s="244"/>
      <c r="H448" s="244"/>
      <c r="I448" s="244"/>
      <c r="J448" s="244"/>
      <c r="K448" s="244"/>
      <c r="L448" s="244"/>
      <c r="M448" s="244"/>
      <c r="N448" s="244"/>
      <c r="O448" s="178">
        <f t="shared" si="108"/>
        <v>0</v>
      </c>
      <c r="P448" s="92">
        <f t="shared" si="109"/>
        <v>0</v>
      </c>
    </row>
    <row r="449" spans="2:16" ht="18.75" x14ac:dyDescent="0.2">
      <c r="B449" s="244"/>
      <c r="C449" s="244"/>
      <c r="D449" s="244"/>
      <c r="E449" s="244"/>
      <c r="F449" s="244"/>
      <c r="G449" s="244"/>
      <c r="H449" s="244"/>
      <c r="I449" s="244"/>
      <c r="J449" s="244"/>
      <c r="K449" s="244"/>
      <c r="L449" s="244"/>
      <c r="M449" s="244"/>
      <c r="N449" s="244"/>
      <c r="O449" s="178">
        <f t="shared" si="108"/>
        <v>0</v>
      </c>
      <c r="P449" s="92">
        <f t="shared" si="109"/>
        <v>0</v>
      </c>
    </row>
    <row r="450" spans="2:16" ht="18.75" x14ac:dyDescent="0.2">
      <c r="B450" s="244"/>
      <c r="C450" s="244"/>
      <c r="D450" s="244"/>
      <c r="E450" s="244"/>
      <c r="F450" s="244"/>
      <c r="G450" s="244"/>
      <c r="H450" s="244"/>
      <c r="I450" s="244"/>
      <c r="J450" s="244"/>
      <c r="K450" s="244"/>
      <c r="L450" s="244"/>
      <c r="M450" s="244"/>
      <c r="N450" s="244"/>
      <c r="O450" s="178">
        <f t="shared" si="108"/>
        <v>0</v>
      </c>
      <c r="P450" s="92">
        <f t="shared" si="109"/>
        <v>0</v>
      </c>
    </row>
    <row r="451" spans="2:16" ht="18.75" x14ac:dyDescent="0.2">
      <c r="B451" s="244"/>
      <c r="C451" s="244"/>
      <c r="D451" s="244"/>
      <c r="E451" s="244"/>
      <c r="F451" s="244"/>
      <c r="G451" s="244"/>
      <c r="H451" s="244"/>
      <c r="I451" s="244"/>
      <c r="J451" s="244"/>
      <c r="K451" s="244"/>
      <c r="L451" s="244"/>
      <c r="M451" s="244"/>
      <c r="N451" s="244"/>
      <c r="O451" s="178">
        <f t="shared" si="108"/>
        <v>0</v>
      </c>
      <c r="P451" s="92">
        <f t="shared" si="109"/>
        <v>0</v>
      </c>
    </row>
    <row r="452" spans="2:16" ht="18.75" x14ac:dyDescent="0.2">
      <c r="B452" s="244"/>
      <c r="C452" s="244"/>
      <c r="D452" s="244"/>
      <c r="E452" s="244"/>
      <c r="F452" s="244"/>
      <c r="G452" s="244"/>
      <c r="H452" s="244"/>
      <c r="I452" s="244"/>
      <c r="J452" s="244"/>
      <c r="K452" s="244"/>
      <c r="L452" s="244"/>
      <c r="M452" s="244"/>
      <c r="N452" s="244"/>
      <c r="O452" s="178">
        <f t="shared" si="108"/>
        <v>0</v>
      </c>
      <c r="P452" s="92">
        <f t="shared" si="109"/>
        <v>0</v>
      </c>
    </row>
    <row r="453" spans="2:16" ht="18.75" x14ac:dyDescent="0.2">
      <c r="B453" s="244"/>
      <c r="C453" s="244"/>
      <c r="D453" s="244"/>
      <c r="E453" s="244"/>
      <c r="F453" s="244"/>
      <c r="G453" s="244"/>
      <c r="H453" s="244"/>
      <c r="I453" s="244"/>
      <c r="J453" s="244"/>
      <c r="K453" s="244"/>
      <c r="L453" s="244"/>
      <c r="M453" s="244"/>
      <c r="N453" s="244"/>
      <c r="O453" s="178">
        <f t="shared" si="108"/>
        <v>0</v>
      </c>
      <c r="P453" s="92">
        <f t="shared" si="109"/>
        <v>0</v>
      </c>
    </row>
    <row r="454" spans="2:16" ht="18.75" x14ac:dyDescent="0.2">
      <c r="B454" s="244"/>
      <c r="C454" s="244"/>
      <c r="D454" s="244"/>
      <c r="E454" s="244"/>
      <c r="F454" s="244"/>
      <c r="G454" s="244"/>
      <c r="H454" s="244"/>
      <c r="I454" s="244"/>
      <c r="J454" s="244"/>
      <c r="K454" s="244"/>
      <c r="L454" s="244"/>
      <c r="M454" s="244"/>
      <c r="N454" s="244"/>
      <c r="O454" s="178">
        <f t="shared" si="108"/>
        <v>0</v>
      </c>
      <c r="P454" s="92">
        <f t="shared" si="109"/>
        <v>0</v>
      </c>
    </row>
    <row r="455" spans="2:16" ht="18.75" x14ac:dyDescent="0.2">
      <c r="B455" s="244"/>
      <c r="C455" s="244"/>
      <c r="D455" s="244"/>
      <c r="E455" s="244"/>
      <c r="F455" s="244"/>
      <c r="G455" s="244"/>
      <c r="H455" s="244"/>
      <c r="I455" s="244"/>
      <c r="J455" s="244"/>
      <c r="K455" s="244"/>
      <c r="L455" s="244"/>
      <c r="M455" s="244"/>
      <c r="N455" s="244"/>
      <c r="O455" s="178">
        <f t="shared" si="108"/>
        <v>0</v>
      </c>
      <c r="P455" s="92">
        <f t="shared" si="109"/>
        <v>0</v>
      </c>
    </row>
    <row r="456" spans="2:16" ht="18.75" x14ac:dyDescent="0.2">
      <c r="B456" s="244"/>
      <c r="C456" s="244"/>
      <c r="D456" s="244"/>
      <c r="E456" s="244"/>
      <c r="F456" s="244"/>
      <c r="G456" s="244"/>
      <c r="H456" s="244"/>
      <c r="I456" s="244"/>
      <c r="J456" s="244"/>
      <c r="K456" s="244"/>
      <c r="L456" s="244"/>
      <c r="M456" s="244"/>
      <c r="N456" s="244"/>
      <c r="O456" s="178">
        <f t="shared" si="108"/>
        <v>0</v>
      </c>
      <c r="P456" s="92">
        <f t="shared" si="109"/>
        <v>0</v>
      </c>
    </row>
    <row r="457" spans="2:16" ht="18.75" x14ac:dyDescent="0.2">
      <c r="B457" s="244"/>
      <c r="C457" s="244"/>
      <c r="D457" s="244"/>
      <c r="E457" s="244"/>
      <c r="F457" s="244"/>
      <c r="G457" s="244"/>
      <c r="H457" s="244"/>
      <c r="I457" s="244"/>
      <c r="J457" s="244"/>
      <c r="K457" s="244"/>
      <c r="L457" s="244"/>
      <c r="M457" s="244"/>
      <c r="N457" s="244"/>
      <c r="O457" s="178">
        <f t="shared" si="108"/>
        <v>0</v>
      </c>
      <c r="P457" s="92">
        <f t="shared" si="109"/>
        <v>0</v>
      </c>
    </row>
    <row r="458" spans="2:16" ht="18.75" x14ac:dyDescent="0.2">
      <c r="B458" s="244"/>
      <c r="C458" s="244"/>
      <c r="D458" s="244"/>
      <c r="E458" s="244"/>
      <c r="F458" s="244"/>
      <c r="G458" s="244"/>
      <c r="H458" s="244"/>
      <c r="I458" s="244"/>
      <c r="J458" s="244"/>
      <c r="K458" s="244"/>
      <c r="L458" s="244"/>
      <c r="M458" s="244"/>
      <c r="N458" s="244"/>
      <c r="O458" s="178">
        <f t="shared" si="108"/>
        <v>0</v>
      </c>
      <c r="P458" s="92">
        <f t="shared" si="109"/>
        <v>0</v>
      </c>
    </row>
    <row r="459" spans="2:16" ht="18.75" x14ac:dyDescent="0.2">
      <c r="B459" s="244"/>
      <c r="C459" s="244"/>
      <c r="D459" s="244"/>
      <c r="E459" s="244"/>
      <c r="F459" s="244"/>
      <c r="G459" s="244"/>
      <c r="H459" s="244"/>
      <c r="I459" s="244"/>
      <c r="J459" s="244"/>
      <c r="K459" s="244"/>
      <c r="L459" s="244"/>
      <c r="M459" s="244"/>
      <c r="N459" s="244"/>
      <c r="O459" s="178">
        <f t="shared" si="108"/>
        <v>0</v>
      </c>
      <c r="P459" s="92">
        <f t="shared" si="109"/>
        <v>0</v>
      </c>
    </row>
    <row r="460" spans="2:16" ht="18.75" x14ac:dyDescent="0.2">
      <c r="B460" s="244"/>
      <c r="C460" s="244"/>
      <c r="D460" s="244"/>
      <c r="E460" s="244"/>
      <c r="F460" s="244"/>
      <c r="G460" s="244"/>
      <c r="H460" s="244"/>
      <c r="I460" s="244"/>
      <c r="J460" s="244"/>
      <c r="K460" s="244"/>
      <c r="L460" s="244"/>
      <c r="M460" s="244"/>
      <c r="N460" s="244"/>
      <c r="O460" s="178">
        <f t="shared" si="108"/>
        <v>0</v>
      </c>
      <c r="P460" s="92">
        <f t="shared" si="109"/>
        <v>0</v>
      </c>
    </row>
    <row r="461" spans="2:16" ht="18.75" x14ac:dyDescent="0.2">
      <c r="B461" s="244"/>
      <c r="C461" s="244"/>
      <c r="D461" s="244"/>
      <c r="E461" s="244"/>
      <c r="F461" s="244"/>
      <c r="G461" s="244"/>
      <c r="H461" s="244"/>
      <c r="I461" s="244"/>
      <c r="J461" s="244"/>
      <c r="K461" s="244"/>
      <c r="L461" s="244"/>
      <c r="M461" s="244"/>
      <c r="N461" s="244"/>
      <c r="O461" s="178">
        <f t="shared" si="108"/>
        <v>0</v>
      </c>
      <c r="P461" s="92">
        <f t="shared" si="109"/>
        <v>0</v>
      </c>
    </row>
    <row r="462" spans="2:16" ht="18.75" x14ac:dyDescent="0.2">
      <c r="B462" s="244"/>
      <c r="C462" s="244"/>
      <c r="D462" s="244"/>
      <c r="E462" s="244"/>
      <c r="F462" s="244"/>
      <c r="G462" s="244"/>
      <c r="H462" s="244"/>
      <c r="I462" s="244"/>
      <c r="J462" s="244"/>
      <c r="K462" s="244"/>
      <c r="L462" s="244"/>
      <c r="M462" s="244"/>
      <c r="N462" s="244"/>
      <c r="O462" s="178">
        <f t="shared" si="108"/>
        <v>0</v>
      </c>
      <c r="P462" s="92">
        <f t="shared" si="109"/>
        <v>0</v>
      </c>
    </row>
    <row r="463" spans="2:16" ht="18.75" x14ac:dyDescent="0.2">
      <c r="B463" s="244"/>
      <c r="C463" s="244"/>
      <c r="D463" s="244"/>
      <c r="E463" s="244"/>
      <c r="F463" s="244"/>
      <c r="G463" s="244"/>
      <c r="H463" s="244"/>
      <c r="I463" s="244"/>
      <c r="J463" s="244"/>
      <c r="K463" s="244"/>
      <c r="L463" s="244"/>
      <c r="M463" s="244"/>
      <c r="N463" s="244"/>
      <c r="O463" s="178">
        <f t="shared" si="108"/>
        <v>0</v>
      </c>
      <c r="P463" s="92">
        <f t="shared" si="109"/>
        <v>0</v>
      </c>
    </row>
    <row r="464" spans="2:16" ht="18.75" x14ac:dyDescent="0.2">
      <c r="B464" s="244"/>
      <c r="C464" s="244"/>
      <c r="D464" s="244"/>
      <c r="E464" s="244"/>
      <c r="F464" s="244"/>
      <c r="G464" s="244"/>
      <c r="H464" s="244"/>
      <c r="I464" s="244"/>
      <c r="J464" s="244"/>
      <c r="K464" s="244"/>
      <c r="L464" s="244"/>
      <c r="M464" s="244"/>
      <c r="N464" s="244"/>
      <c r="O464" s="178">
        <f t="shared" si="108"/>
        <v>0</v>
      </c>
      <c r="P464" s="92">
        <f t="shared" si="109"/>
        <v>0</v>
      </c>
    </row>
    <row r="465" spans="2:16" ht="18.75" x14ac:dyDescent="0.2">
      <c r="B465" s="244"/>
      <c r="C465" s="244"/>
      <c r="D465" s="244"/>
      <c r="E465" s="244"/>
      <c r="F465" s="244"/>
      <c r="G465" s="244"/>
      <c r="H465" s="244"/>
      <c r="I465" s="244"/>
      <c r="J465" s="244"/>
      <c r="K465" s="244"/>
      <c r="L465" s="244"/>
      <c r="M465" s="244"/>
      <c r="N465" s="244"/>
      <c r="O465" s="178">
        <f t="shared" si="108"/>
        <v>0</v>
      </c>
      <c r="P465" s="92">
        <f t="shared" si="109"/>
        <v>0</v>
      </c>
    </row>
    <row r="466" spans="2:16" ht="18.75" x14ac:dyDescent="0.2">
      <c r="B466" s="244"/>
      <c r="C466" s="244"/>
      <c r="D466" s="244"/>
      <c r="E466" s="244"/>
      <c r="F466" s="244"/>
      <c r="G466" s="244"/>
      <c r="H466" s="244"/>
      <c r="I466" s="244"/>
      <c r="J466" s="244"/>
      <c r="K466" s="244"/>
      <c r="L466" s="244"/>
      <c r="M466" s="244"/>
      <c r="N466" s="244"/>
      <c r="O466" s="178">
        <f t="shared" si="108"/>
        <v>0</v>
      </c>
      <c r="P466" s="92">
        <f t="shared" si="109"/>
        <v>0</v>
      </c>
    </row>
    <row r="467" spans="2:16" ht="18.75" x14ac:dyDescent="0.2">
      <c r="B467" s="244"/>
      <c r="C467" s="244"/>
      <c r="D467" s="244"/>
      <c r="E467" s="244"/>
      <c r="F467" s="244"/>
      <c r="G467" s="244"/>
      <c r="H467" s="244"/>
      <c r="I467" s="244"/>
      <c r="J467" s="244"/>
      <c r="K467" s="244"/>
      <c r="L467" s="244"/>
      <c r="M467" s="244"/>
      <c r="N467" s="244"/>
      <c r="O467" s="178">
        <f t="shared" si="108"/>
        <v>0</v>
      </c>
      <c r="P467" s="92">
        <f t="shared" si="109"/>
        <v>0</v>
      </c>
    </row>
    <row r="468" spans="2:16" ht="18.75" x14ac:dyDescent="0.2">
      <c r="B468" s="244"/>
      <c r="C468" s="244"/>
      <c r="D468" s="244"/>
      <c r="E468" s="244"/>
      <c r="F468" s="244"/>
      <c r="G468" s="244"/>
      <c r="H468" s="244"/>
      <c r="I468" s="244"/>
      <c r="J468" s="244"/>
      <c r="K468" s="244"/>
      <c r="L468" s="244"/>
      <c r="M468" s="244"/>
      <c r="N468" s="244"/>
      <c r="O468" s="178">
        <f t="shared" si="108"/>
        <v>0</v>
      </c>
      <c r="P468" s="92">
        <f t="shared" si="109"/>
        <v>0</v>
      </c>
    </row>
    <row r="469" spans="2:16" ht="18.75" x14ac:dyDescent="0.2">
      <c r="B469" s="244"/>
      <c r="C469" s="244"/>
      <c r="D469" s="244"/>
      <c r="E469" s="244"/>
      <c r="F469" s="244"/>
      <c r="G469" s="244"/>
      <c r="H469" s="244"/>
      <c r="I469" s="244"/>
      <c r="J469" s="244"/>
      <c r="K469" s="244"/>
      <c r="L469" s="244"/>
      <c r="M469" s="244"/>
      <c r="N469" s="244"/>
      <c r="O469" s="178">
        <f t="shared" si="108"/>
        <v>0</v>
      </c>
      <c r="P469" s="92">
        <f t="shared" si="109"/>
        <v>0</v>
      </c>
    </row>
    <row r="470" spans="2:16" x14ac:dyDescent="0.2">
      <c r="B470" s="244"/>
      <c r="C470" s="244"/>
      <c r="D470" s="244"/>
      <c r="E470" s="244"/>
      <c r="F470" s="244"/>
      <c r="G470" s="244"/>
      <c r="H470" s="244"/>
      <c r="I470" s="244"/>
      <c r="J470" s="244"/>
      <c r="K470" s="244"/>
      <c r="L470" s="244"/>
      <c r="M470" s="244"/>
      <c r="N470" s="244"/>
      <c r="O470" s="244"/>
    </row>
    <row r="471" spans="2:16" x14ac:dyDescent="0.2">
      <c r="B471" s="244"/>
      <c r="C471" s="244"/>
      <c r="D471" s="244"/>
      <c r="E471" s="244"/>
      <c r="F471" s="244"/>
      <c r="G471" s="244"/>
      <c r="H471" s="244"/>
      <c r="I471" s="244"/>
      <c r="J471" s="244"/>
      <c r="K471" s="244"/>
      <c r="L471" s="244"/>
      <c r="M471" s="244"/>
      <c r="N471" s="244"/>
      <c r="O471" s="244"/>
    </row>
    <row r="472" spans="2:16" x14ac:dyDescent="0.2">
      <c r="B472" s="244"/>
      <c r="C472" s="244"/>
      <c r="D472" s="244"/>
      <c r="E472" s="244"/>
      <c r="F472" s="244"/>
      <c r="G472" s="244"/>
      <c r="H472" s="244"/>
      <c r="I472" s="244"/>
      <c r="J472" s="244"/>
      <c r="K472" s="244"/>
      <c r="L472" s="244"/>
      <c r="M472" s="244"/>
      <c r="N472" s="244"/>
      <c r="O472" s="244"/>
    </row>
    <row r="473" spans="2:16" x14ac:dyDescent="0.2">
      <c r="B473" s="244"/>
      <c r="C473" s="244"/>
      <c r="D473" s="244"/>
      <c r="E473" s="244"/>
      <c r="F473" s="244"/>
      <c r="G473" s="244"/>
      <c r="H473" s="244"/>
      <c r="I473" s="244"/>
      <c r="J473" s="244"/>
      <c r="K473" s="244"/>
      <c r="L473" s="244"/>
      <c r="M473" s="244"/>
      <c r="N473" s="244"/>
      <c r="O473" s="244"/>
    </row>
    <row r="474" spans="2:16" x14ac:dyDescent="0.2">
      <c r="B474" s="244"/>
      <c r="C474" s="244"/>
      <c r="D474" s="244"/>
      <c r="E474" s="244"/>
      <c r="F474" s="244"/>
      <c r="G474" s="244"/>
      <c r="H474" s="244"/>
      <c r="I474" s="244"/>
      <c r="J474" s="244"/>
      <c r="K474" s="244"/>
      <c r="L474" s="244"/>
      <c r="M474" s="244"/>
      <c r="N474" s="244"/>
      <c r="O474" s="244"/>
    </row>
    <row r="475" spans="2:16" x14ac:dyDescent="0.2">
      <c r="B475" s="244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44"/>
      <c r="N475" s="244"/>
      <c r="O475" s="244"/>
    </row>
    <row r="476" spans="2:16" x14ac:dyDescent="0.2">
      <c r="B476" s="244"/>
      <c r="C476" s="244"/>
      <c r="D476" s="244"/>
      <c r="E476" s="244"/>
      <c r="F476" s="244"/>
      <c r="G476" s="244"/>
      <c r="H476" s="244"/>
      <c r="I476" s="244"/>
      <c r="J476" s="244"/>
      <c r="K476" s="244"/>
      <c r="L476" s="244"/>
      <c r="M476" s="244"/>
      <c r="N476" s="244"/>
      <c r="O476" s="244"/>
    </row>
    <row r="477" spans="2:16" x14ac:dyDescent="0.2">
      <c r="B477" s="244"/>
      <c r="C477" s="244"/>
      <c r="D477" s="244"/>
      <c r="E477" s="244"/>
      <c r="F477" s="244"/>
      <c r="G477" s="244"/>
      <c r="H477" s="244"/>
      <c r="I477" s="244"/>
      <c r="J477" s="244"/>
      <c r="K477" s="244"/>
      <c r="L477" s="244"/>
      <c r="M477" s="244"/>
      <c r="N477" s="244"/>
      <c r="O477" s="244"/>
    </row>
    <row r="478" spans="2:16" x14ac:dyDescent="0.2">
      <c r="B478" s="244"/>
      <c r="C478" s="244"/>
      <c r="D478" s="244"/>
      <c r="E478" s="244"/>
      <c r="F478" s="244"/>
      <c r="G478" s="244"/>
      <c r="H478" s="244"/>
      <c r="I478" s="244"/>
      <c r="J478" s="244"/>
      <c r="K478" s="244"/>
      <c r="L478" s="244"/>
      <c r="M478" s="244"/>
      <c r="N478" s="244"/>
      <c r="O478" s="244"/>
    </row>
    <row r="479" spans="2:16" x14ac:dyDescent="0.2">
      <c r="B479" s="244"/>
      <c r="C479" s="244"/>
      <c r="D479" s="244"/>
      <c r="E479" s="244"/>
      <c r="F479" s="244"/>
      <c r="G479" s="244"/>
      <c r="H479" s="244"/>
      <c r="I479" s="244"/>
      <c r="J479" s="244"/>
      <c r="K479" s="244"/>
      <c r="L479" s="244"/>
      <c r="M479" s="244"/>
      <c r="N479" s="244"/>
      <c r="O479" s="244"/>
    </row>
    <row r="480" spans="2:16" x14ac:dyDescent="0.2">
      <c r="B480" s="244"/>
      <c r="C480" s="244"/>
      <c r="D480" s="244"/>
      <c r="E480" s="244"/>
      <c r="F480" s="244"/>
      <c r="G480" s="244"/>
      <c r="H480" s="244"/>
      <c r="I480" s="244"/>
      <c r="J480" s="244"/>
      <c r="K480" s="244"/>
      <c r="L480" s="244"/>
      <c r="M480" s="244"/>
      <c r="N480" s="244"/>
      <c r="O480" s="244"/>
    </row>
    <row r="481" spans="2:15" x14ac:dyDescent="0.2">
      <c r="B481" s="244"/>
      <c r="C481" s="244"/>
      <c r="D481" s="244"/>
      <c r="E481" s="244"/>
      <c r="F481" s="244"/>
      <c r="G481" s="244"/>
      <c r="H481" s="244"/>
      <c r="I481" s="244"/>
      <c r="J481" s="244"/>
      <c r="K481" s="244"/>
      <c r="L481" s="244"/>
      <c r="M481" s="244"/>
      <c r="N481" s="244"/>
      <c r="O481" s="244"/>
    </row>
    <row r="482" spans="2:15" x14ac:dyDescent="0.2">
      <c r="B482" s="244"/>
      <c r="C482" s="244"/>
      <c r="D482" s="244"/>
      <c r="E482" s="244"/>
      <c r="F482" s="244"/>
      <c r="G482" s="244"/>
      <c r="H482" s="244"/>
      <c r="I482" s="244"/>
      <c r="J482" s="244"/>
      <c r="K482" s="244"/>
      <c r="L482" s="244"/>
      <c r="M482" s="244"/>
      <c r="N482" s="244"/>
      <c r="O482" s="244"/>
    </row>
    <row r="483" spans="2:15" x14ac:dyDescent="0.2">
      <c r="B483" s="244"/>
      <c r="C483" s="244"/>
      <c r="D483" s="244"/>
      <c r="E483" s="244"/>
      <c r="F483" s="244"/>
      <c r="G483" s="244"/>
      <c r="H483" s="244"/>
      <c r="I483" s="244"/>
      <c r="J483" s="244"/>
      <c r="K483" s="244"/>
      <c r="L483" s="244"/>
      <c r="M483" s="244"/>
      <c r="N483" s="244"/>
      <c r="O483" s="244"/>
    </row>
    <row r="484" spans="2:15" x14ac:dyDescent="0.2">
      <c r="B484" s="244"/>
      <c r="C484" s="244"/>
      <c r="D484" s="244"/>
      <c r="E484" s="244"/>
      <c r="F484" s="244"/>
      <c r="G484" s="244"/>
      <c r="H484" s="244"/>
      <c r="I484" s="244"/>
      <c r="J484" s="244"/>
      <c r="K484" s="244"/>
      <c r="L484" s="244"/>
      <c r="M484" s="244"/>
      <c r="N484" s="244"/>
      <c r="O484" s="244"/>
    </row>
    <row r="485" spans="2:15" x14ac:dyDescent="0.2">
      <c r="B485" s="244"/>
      <c r="C485" s="244"/>
      <c r="D485" s="244"/>
      <c r="E485" s="244"/>
      <c r="F485" s="244"/>
      <c r="G485" s="244"/>
      <c r="H485" s="244"/>
      <c r="I485" s="244"/>
      <c r="J485" s="244"/>
      <c r="K485" s="244"/>
      <c r="L485" s="244"/>
      <c r="M485" s="244"/>
      <c r="N485" s="244"/>
      <c r="O485" s="244"/>
    </row>
    <row r="486" spans="2:15" x14ac:dyDescent="0.2">
      <c r="B486" s="244"/>
      <c r="C486" s="244"/>
      <c r="D486" s="244"/>
      <c r="E486" s="244"/>
      <c r="F486" s="244"/>
      <c r="G486" s="244"/>
      <c r="H486" s="244"/>
      <c r="I486" s="244"/>
      <c r="J486" s="244"/>
      <c r="K486" s="244"/>
      <c r="L486" s="244"/>
      <c r="M486" s="244"/>
      <c r="N486" s="244"/>
      <c r="O486" s="244"/>
    </row>
    <row r="487" spans="2:15" x14ac:dyDescent="0.2">
      <c r="B487" s="244"/>
      <c r="C487" s="244"/>
      <c r="D487" s="244"/>
      <c r="E487" s="244"/>
      <c r="F487" s="244"/>
      <c r="G487" s="244"/>
      <c r="H487" s="244"/>
      <c r="I487" s="244"/>
      <c r="J487" s="244"/>
      <c r="K487" s="244"/>
      <c r="L487" s="244"/>
      <c r="M487" s="244"/>
      <c r="N487" s="244"/>
      <c r="O487" s="244"/>
    </row>
    <row r="488" spans="2:15" x14ac:dyDescent="0.2">
      <c r="B488" s="244"/>
      <c r="C488" s="244"/>
      <c r="D488" s="244"/>
      <c r="E488" s="244"/>
      <c r="F488" s="244"/>
      <c r="G488" s="244"/>
      <c r="H488" s="244"/>
      <c r="I488" s="244"/>
      <c r="J488" s="244"/>
      <c r="K488" s="244"/>
      <c r="L488" s="244"/>
      <c r="M488" s="244"/>
      <c r="N488" s="244"/>
      <c r="O488" s="244"/>
    </row>
    <row r="489" spans="2:15" x14ac:dyDescent="0.2">
      <c r="B489" s="244"/>
      <c r="C489" s="244"/>
      <c r="D489" s="244"/>
      <c r="E489" s="244"/>
      <c r="F489" s="244"/>
      <c r="G489" s="244"/>
      <c r="H489" s="244"/>
      <c r="I489" s="244"/>
      <c r="J489" s="244"/>
      <c r="K489" s="244"/>
      <c r="L489" s="244"/>
      <c r="M489" s="244"/>
      <c r="N489" s="244"/>
      <c r="O489" s="244"/>
    </row>
    <row r="490" spans="2:15" x14ac:dyDescent="0.2">
      <c r="B490" s="244"/>
      <c r="C490" s="244"/>
      <c r="D490" s="244"/>
      <c r="E490" s="244"/>
      <c r="F490" s="244"/>
      <c r="G490" s="244"/>
      <c r="H490" s="244"/>
      <c r="I490" s="244"/>
      <c r="J490" s="244"/>
      <c r="K490" s="244"/>
      <c r="L490" s="244"/>
      <c r="M490" s="244"/>
      <c r="N490" s="244"/>
      <c r="O490" s="244"/>
    </row>
    <row r="491" spans="2:15" x14ac:dyDescent="0.2">
      <c r="B491" s="244"/>
      <c r="C491" s="244"/>
      <c r="D491" s="244"/>
      <c r="E491" s="244"/>
      <c r="F491" s="244"/>
      <c r="G491" s="244"/>
      <c r="H491" s="244"/>
      <c r="I491" s="244"/>
      <c r="J491" s="244"/>
      <c r="K491" s="244"/>
      <c r="L491" s="244"/>
      <c r="M491" s="244"/>
      <c r="N491" s="244"/>
      <c r="O491" s="244"/>
    </row>
    <row r="492" spans="2:15" x14ac:dyDescent="0.2">
      <c r="B492" s="244"/>
      <c r="C492" s="244"/>
      <c r="D492" s="244"/>
      <c r="E492" s="244"/>
      <c r="F492" s="244"/>
      <c r="G492" s="244"/>
      <c r="H492" s="244"/>
      <c r="I492" s="244"/>
      <c r="J492" s="244"/>
      <c r="K492" s="244"/>
      <c r="L492" s="244"/>
      <c r="M492" s="244"/>
      <c r="N492" s="244"/>
      <c r="O492" s="244"/>
    </row>
    <row r="493" spans="2:15" x14ac:dyDescent="0.2">
      <c r="B493" s="244"/>
      <c r="C493" s="244"/>
      <c r="D493" s="244"/>
      <c r="E493" s="244"/>
      <c r="F493" s="244"/>
      <c r="G493" s="244"/>
      <c r="H493" s="244"/>
      <c r="I493" s="244"/>
      <c r="J493" s="244"/>
      <c r="K493" s="244"/>
      <c r="L493" s="244"/>
      <c r="M493" s="244"/>
      <c r="N493" s="244"/>
      <c r="O493" s="244"/>
    </row>
    <row r="494" spans="2:15" x14ac:dyDescent="0.2">
      <c r="B494" s="244"/>
      <c r="C494" s="244"/>
      <c r="D494" s="244"/>
      <c r="E494" s="244"/>
      <c r="F494" s="244"/>
      <c r="G494" s="244"/>
      <c r="H494" s="244"/>
      <c r="I494" s="244"/>
      <c r="J494" s="244"/>
      <c r="K494" s="244"/>
      <c r="L494" s="244"/>
      <c r="M494" s="244"/>
      <c r="N494" s="244"/>
      <c r="O494" s="244"/>
    </row>
    <row r="495" spans="2:15" x14ac:dyDescent="0.2">
      <c r="B495" s="244"/>
      <c r="C495" s="244"/>
      <c r="D495" s="244"/>
      <c r="E495" s="244"/>
      <c r="F495" s="244"/>
      <c r="G495" s="244"/>
      <c r="H495" s="244"/>
      <c r="I495" s="244"/>
      <c r="J495" s="244"/>
      <c r="K495" s="244"/>
      <c r="L495" s="244"/>
      <c r="M495" s="244"/>
      <c r="N495" s="244"/>
      <c r="O495" s="244"/>
    </row>
    <row r="496" spans="2:15" x14ac:dyDescent="0.2">
      <c r="B496" s="244"/>
      <c r="C496" s="244"/>
      <c r="D496" s="244"/>
      <c r="E496" s="244"/>
      <c r="F496" s="244"/>
      <c r="G496" s="244"/>
      <c r="H496" s="244"/>
      <c r="I496" s="244"/>
      <c r="J496" s="244"/>
      <c r="K496" s="244"/>
      <c r="L496" s="244"/>
      <c r="M496" s="244"/>
      <c r="N496" s="244"/>
      <c r="O496" s="244"/>
    </row>
    <row r="497" spans="2:15" x14ac:dyDescent="0.2">
      <c r="B497" s="244"/>
      <c r="C497" s="244"/>
      <c r="D497" s="244"/>
      <c r="E497" s="244"/>
      <c r="F497" s="244"/>
      <c r="G497" s="244"/>
      <c r="H497" s="244"/>
      <c r="I497" s="244"/>
      <c r="J497" s="244"/>
      <c r="K497" s="244"/>
      <c r="L497" s="244"/>
      <c r="M497" s="244"/>
      <c r="N497" s="244"/>
      <c r="O497" s="244"/>
    </row>
    <row r="498" spans="2:15" x14ac:dyDescent="0.2">
      <c r="B498" s="244"/>
      <c r="C498" s="244"/>
      <c r="D498" s="244"/>
      <c r="E498" s="244"/>
      <c r="F498" s="244"/>
      <c r="G498" s="244"/>
      <c r="H498" s="244"/>
      <c r="I498" s="244"/>
      <c r="J498" s="244"/>
      <c r="K498" s="244"/>
      <c r="L498" s="244"/>
      <c r="M498" s="244"/>
      <c r="N498" s="244"/>
      <c r="O498" s="244"/>
    </row>
    <row r="499" spans="2:15" x14ac:dyDescent="0.2">
      <c r="B499" s="244"/>
      <c r="C499" s="244"/>
      <c r="D499" s="244"/>
      <c r="E499" s="244"/>
      <c r="F499" s="244"/>
      <c r="G499" s="244"/>
      <c r="H499" s="244"/>
      <c r="I499" s="244"/>
      <c r="J499" s="244"/>
      <c r="K499" s="244"/>
      <c r="L499" s="244"/>
      <c r="M499" s="244"/>
      <c r="N499" s="244"/>
      <c r="O499" s="244"/>
    </row>
    <row r="500" spans="2:15" x14ac:dyDescent="0.2">
      <c r="B500" s="244"/>
      <c r="C500" s="244"/>
      <c r="D500" s="244"/>
      <c r="E500" s="244"/>
      <c r="F500" s="244"/>
      <c r="G500" s="244"/>
      <c r="H500" s="244"/>
      <c r="I500" s="244"/>
      <c r="J500" s="244"/>
      <c r="K500" s="244"/>
      <c r="L500" s="244"/>
      <c r="M500" s="244"/>
      <c r="N500" s="244"/>
      <c r="O500" s="244"/>
    </row>
    <row r="501" spans="2:15" x14ac:dyDescent="0.2">
      <c r="B501" s="244"/>
      <c r="C501" s="244"/>
      <c r="D501" s="244"/>
      <c r="E501" s="244"/>
      <c r="F501" s="244"/>
      <c r="G501" s="244"/>
      <c r="H501" s="244"/>
      <c r="I501" s="244"/>
      <c r="J501" s="244"/>
      <c r="K501" s="244"/>
      <c r="L501" s="244"/>
      <c r="M501" s="244"/>
      <c r="N501" s="244"/>
      <c r="O501" s="244"/>
    </row>
    <row r="502" spans="2:15" x14ac:dyDescent="0.2">
      <c r="B502" s="244"/>
      <c r="C502" s="244"/>
      <c r="D502" s="244"/>
      <c r="E502" s="244"/>
      <c r="F502" s="244"/>
      <c r="G502" s="244"/>
      <c r="H502" s="244"/>
      <c r="I502" s="244"/>
      <c r="J502" s="244"/>
      <c r="K502" s="244"/>
      <c r="L502" s="244"/>
      <c r="M502" s="244"/>
      <c r="N502" s="244"/>
      <c r="O502" s="244"/>
    </row>
    <row r="503" spans="2:15" x14ac:dyDescent="0.2">
      <c r="B503" s="244"/>
      <c r="C503" s="244"/>
      <c r="D503" s="244"/>
      <c r="E503" s="244"/>
      <c r="F503" s="244"/>
      <c r="G503" s="244"/>
      <c r="H503" s="244"/>
      <c r="I503" s="244"/>
      <c r="J503" s="244"/>
      <c r="K503" s="244"/>
      <c r="L503" s="244"/>
      <c r="M503" s="244"/>
      <c r="N503" s="244"/>
      <c r="O503" s="244"/>
    </row>
    <row r="504" spans="2:15" x14ac:dyDescent="0.2">
      <c r="B504" s="244"/>
      <c r="C504" s="244"/>
      <c r="D504" s="244"/>
      <c r="E504" s="244"/>
      <c r="F504" s="244"/>
      <c r="G504" s="244"/>
      <c r="H504" s="244"/>
      <c r="I504" s="244"/>
      <c r="J504" s="244"/>
      <c r="K504" s="244"/>
      <c r="L504" s="244"/>
      <c r="M504" s="244"/>
      <c r="N504" s="244"/>
      <c r="O504" s="244"/>
    </row>
    <row r="505" spans="2:15" x14ac:dyDescent="0.2">
      <c r="B505" s="244"/>
      <c r="C505" s="244"/>
      <c r="D505" s="244"/>
      <c r="E505" s="244"/>
      <c r="F505" s="244"/>
      <c r="G505" s="244"/>
      <c r="H505" s="244"/>
      <c r="I505" s="244"/>
      <c r="J505" s="244"/>
      <c r="K505" s="244"/>
      <c r="L505" s="244"/>
      <c r="M505" s="244"/>
      <c r="N505" s="244"/>
      <c r="O505" s="244"/>
    </row>
    <row r="506" spans="2:15" x14ac:dyDescent="0.2">
      <c r="B506" s="244"/>
      <c r="C506" s="244"/>
      <c r="D506" s="244"/>
      <c r="E506" s="244"/>
      <c r="F506" s="244"/>
      <c r="G506" s="244"/>
      <c r="H506" s="244"/>
      <c r="I506" s="244"/>
      <c r="J506" s="244"/>
      <c r="K506" s="244"/>
      <c r="L506" s="244"/>
      <c r="M506" s="244"/>
      <c r="N506" s="244"/>
      <c r="O506" s="244"/>
    </row>
    <row r="507" spans="2:15" x14ac:dyDescent="0.2">
      <c r="B507" s="244"/>
      <c r="C507" s="244"/>
      <c r="D507" s="244"/>
      <c r="E507" s="244"/>
      <c r="F507" s="244"/>
      <c r="G507" s="244"/>
      <c r="H507" s="244"/>
      <c r="I507" s="244"/>
      <c r="J507" s="244"/>
      <c r="K507" s="244"/>
      <c r="L507" s="244"/>
      <c r="M507" s="244"/>
      <c r="N507" s="244"/>
      <c r="O507" s="244"/>
    </row>
    <row r="508" spans="2:15" x14ac:dyDescent="0.2">
      <c r="B508" s="244"/>
      <c r="C508" s="244"/>
      <c r="D508" s="244"/>
      <c r="E508" s="244"/>
      <c r="F508" s="244"/>
      <c r="G508" s="244"/>
      <c r="H508" s="244"/>
      <c r="I508" s="244"/>
      <c r="J508" s="244"/>
      <c r="K508" s="244"/>
      <c r="L508" s="244"/>
      <c r="M508" s="244"/>
      <c r="N508" s="244"/>
      <c r="O508" s="244"/>
    </row>
    <row r="509" spans="2:15" x14ac:dyDescent="0.2">
      <c r="B509" s="244"/>
      <c r="C509" s="244"/>
      <c r="D509" s="244"/>
      <c r="E509" s="244"/>
      <c r="F509" s="244"/>
      <c r="G509" s="244"/>
      <c r="H509" s="244"/>
      <c r="I509" s="244"/>
      <c r="J509" s="244"/>
      <c r="K509" s="244"/>
      <c r="L509" s="244"/>
      <c r="M509" s="244"/>
      <c r="N509" s="244"/>
      <c r="O509" s="244"/>
    </row>
    <row r="510" spans="2:15" x14ac:dyDescent="0.2">
      <c r="B510" s="244"/>
      <c r="C510" s="244"/>
      <c r="D510" s="244"/>
      <c r="E510" s="244"/>
      <c r="F510" s="244"/>
      <c r="G510" s="244"/>
      <c r="H510" s="244"/>
      <c r="I510" s="244"/>
      <c r="J510" s="244"/>
      <c r="K510" s="244"/>
      <c r="L510" s="244"/>
      <c r="M510" s="244"/>
      <c r="N510" s="244"/>
      <c r="O510" s="244"/>
    </row>
    <row r="511" spans="2:15" x14ac:dyDescent="0.2">
      <c r="B511" s="244"/>
      <c r="C511" s="244"/>
      <c r="D511" s="244"/>
      <c r="E511" s="244"/>
      <c r="F511" s="244"/>
      <c r="G511" s="244"/>
      <c r="H511" s="244"/>
      <c r="I511" s="244"/>
      <c r="J511" s="244"/>
      <c r="K511" s="244"/>
      <c r="L511" s="244"/>
      <c r="M511" s="244"/>
      <c r="N511" s="244"/>
      <c r="O511" s="244"/>
    </row>
    <row r="512" spans="2:15" x14ac:dyDescent="0.2">
      <c r="B512" s="244"/>
      <c r="C512" s="244"/>
      <c r="D512" s="244"/>
      <c r="E512" s="244"/>
      <c r="F512" s="244"/>
      <c r="G512" s="244"/>
      <c r="H512" s="244"/>
      <c r="I512" s="244"/>
      <c r="J512" s="244"/>
      <c r="K512" s="244"/>
      <c r="L512" s="244"/>
      <c r="M512" s="244"/>
      <c r="N512" s="244"/>
      <c r="O512" s="244"/>
    </row>
    <row r="513" spans="2:15" x14ac:dyDescent="0.2">
      <c r="B513" s="244"/>
      <c r="C513" s="244"/>
      <c r="D513" s="244"/>
      <c r="E513" s="244"/>
      <c r="F513" s="244"/>
      <c r="G513" s="244"/>
      <c r="H513" s="244"/>
      <c r="I513" s="244"/>
      <c r="J513" s="244"/>
      <c r="K513" s="244"/>
      <c r="L513" s="244"/>
      <c r="M513" s="244"/>
      <c r="N513" s="244"/>
      <c r="O513" s="244"/>
    </row>
    <row r="514" spans="2:15" x14ac:dyDescent="0.2">
      <c r="B514" s="244"/>
      <c r="C514" s="244"/>
      <c r="D514" s="244"/>
      <c r="E514" s="244"/>
      <c r="F514" s="244"/>
      <c r="G514" s="244"/>
      <c r="H514" s="244"/>
      <c r="I514" s="244"/>
      <c r="J514" s="244"/>
      <c r="K514" s="244"/>
      <c r="L514" s="244"/>
      <c r="M514" s="244"/>
      <c r="N514" s="244"/>
      <c r="O514" s="244"/>
    </row>
    <row r="515" spans="2:15" x14ac:dyDescent="0.2">
      <c r="B515" s="244"/>
      <c r="C515" s="244"/>
      <c r="D515" s="244"/>
      <c r="E515" s="244"/>
      <c r="F515" s="244"/>
      <c r="G515" s="244"/>
      <c r="H515" s="244"/>
      <c r="I515" s="244"/>
      <c r="J515" s="244"/>
      <c r="K515" s="244"/>
      <c r="L515" s="244"/>
      <c r="M515" s="244"/>
      <c r="N515" s="244"/>
      <c r="O515" s="244"/>
    </row>
    <row r="516" spans="2:15" x14ac:dyDescent="0.2">
      <c r="B516" s="244"/>
      <c r="C516" s="244"/>
      <c r="D516" s="244"/>
      <c r="E516" s="244"/>
      <c r="F516" s="244"/>
      <c r="G516" s="244"/>
      <c r="H516" s="244"/>
      <c r="I516" s="244"/>
      <c r="J516" s="244"/>
      <c r="K516" s="244"/>
      <c r="L516" s="244"/>
      <c r="M516" s="244"/>
      <c r="N516" s="244"/>
      <c r="O516" s="244"/>
    </row>
    <row r="517" spans="2:15" x14ac:dyDescent="0.2">
      <c r="B517" s="244"/>
      <c r="C517" s="244"/>
      <c r="D517" s="244"/>
      <c r="E517" s="244"/>
      <c r="F517" s="244"/>
      <c r="G517" s="244"/>
      <c r="H517" s="244"/>
      <c r="I517" s="244"/>
      <c r="J517" s="244"/>
      <c r="K517" s="244"/>
      <c r="L517" s="244"/>
      <c r="M517" s="244"/>
      <c r="N517" s="244"/>
      <c r="O517" s="244"/>
    </row>
    <row r="518" spans="2:15" x14ac:dyDescent="0.2">
      <c r="B518" s="244"/>
      <c r="C518" s="244"/>
      <c r="D518" s="244"/>
      <c r="E518" s="244"/>
      <c r="F518" s="244"/>
      <c r="G518" s="244"/>
      <c r="H518" s="244"/>
      <c r="I518" s="244"/>
      <c r="J518" s="244"/>
      <c r="K518" s="244"/>
      <c r="L518" s="244"/>
      <c r="M518" s="244"/>
      <c r="N518" s="244"/>
      <c r="O518" s="244"/>
    </row>
  </sheetData>
  <mergeCells count="18">
    <mergeCell ref="I6:N6"/>
    <mergeCell ref="I1:N1"/>
    <mergeCell ref="I2:N2"/>
    <mergeCell ref="I3:N3"/>
    <mergeCell ref="I4:N4"/>
    <mergeCell ref="I5:N5"/>
    <mergeCell ref="A8:N8"/>
    <mergeCell ref="A9:N9"/>
    <mergeCell ref="A10:N10"/>
    <mergeCell ref="A13:A14"/>
    <mergeCell ref="B13:B14"/>
    <mergeCell ref="C13:D13"/>
    <mergeCell ref="F13:N13"/>
    <mergeCell ref="C15:D15"/>
    <mergeCell ref="F15:N15"/>
    <mergeCell ref="B17:D17"/>
    <mergeCell ref="B398:D398"/>
    <mergeCell ref="B438:N439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1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518"/>
  <sheetViews>
    <sheetView zoomScale="60" zoomScaleNormal="60" zoomScaleSheetLayoutView="70" workbookViewId="0">
      <selection activeCell="L118" sqref="L118:M118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6" width="16.28515625" customWidth="1"/>
    <col min="7" max="7" width="15.7109375" customWidth="1"/>
    <col min="8" max="8" width="18.28515625" customWidth="1"/>
    <col min="9" max="9" width="18" customWidth="1"/>
    <col min="10" max="10" width="16.7109375" customWidth="1"/>
    <col min="11" max="12" width="18" customWidth="1"/>
    <col min="13" max="13" width="19" customWidth="1"/>
    <col min="14" max="14" width="22.28515625" customWidth="1"/>
    <col min="15" max="15" width="16.42578125" customWidth="1"/>
    <col min="16" max="16" width="12.7109375" customWidth="1"/>
    <col min="17" max="17" width="18.85546875" customWidth="1"/>
    <col min="18" max="18" width="17.4257812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281"/>
      <c r="P1" s="281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281"/>
      <c r="P2" s="281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281"/>
      <c r="P3" s="281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281"/>
      <c r="P4" s="281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499</v>
      </c>
      <c r="J5" s="440"/>
      <c r="K5" s="440"/>
      <c r="L5" s="440"/>
      <c r="M5" s="440"/>
      <c r="N5" s="440"/>
      <c r="O5" s="281"/>
      <c r="P5" s="281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281"/>
      <c r="P6" s="281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282"/>
      <c r="P8" s="282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282"/>
      <c r="P9" s="282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283"/>
      <c r="P10" s="283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284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66" t="s">
        <v>15</v>
      </c>
      <c r="J14" s="167" t="s">
        <v>13</v>
      </c>
      <c r="K14" s="167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285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173" t="s">
        <v>20</v>
      </c>
      <c r="C16" s="173"/>
      <c r="D16" s="174"/>
      <c r="E16" s="175"/>
      <c r="F16" s="176">
        <f t="shared" ref="F16:N16" si="0">F17+F398</f>
        <v>753492.30000000016</v>
      </c>
      <c r="G16" s="176">
        <f>G17+G398</f>
        <v>-1999.9999999999982</v>
      </c>
      <c r="H16" s="176">
        <f t="shared" si="0"/>
        <v>751492.30000000016</v>
      </c>
      <c r="I16" s="177">
        <f t="shared" si="0"/>
        <v>1945491.4</v>
      </c>
      <c r="J16" s="274">
        <f t="shared" si="0"/>
        <v>72000</v>
      </c>
      <c r="K16" s="177">
        <f t="shared" si="0"/>
        <v>2017491.4</v>
      </c>
      <c r="L16" s="177">
        <f>L17+L398</f>
        <v>2698983.6999999997</v>
      </c>
      <c r="M16" s="176">
        <f t="shared" si="0"/>
        <v>70000</v>
      </c>
      <c r="N16" s="177">
        <f t="shared" si="0"/>
        <v>2768983.6999999993</v>
      </c>
      <c r="O16" s="178">
        <f>L16+M16</f>
        <v>2768983.6999999997</v>
      </c>
      <c r="P16" s="92">
        <f>O16-N16</f>
        <v>0</v>
      </c>
    </row>
    <row r="17" spans="1:17" ht="32.450000000000003" customHeight="1" x14ac:dyDescent="0.2">
      <c r="A17" s="16" t="s">
        <v>21</v>
      </c>
      <c r="B17" s="445" t="s">
        <v>22</v>
      </c>
      <c r="C17" s="446"/>
      <c r="D17" s="446"/>
      <c r="E17" s="286"/>
      <c r="F17" s="180">
        <f t="shared" ref="F17:N17" si="1">F18+F34+F39+F83+F95+F139+F215+F250+F259+F307+F330+F348+F387+F391</f>
        <v>706856.90000000014</v>
      </c>
      <c r="G17" s="180">
        <f t="shared" si="1"/>
        <v>-10597.099999999999</v>
      </c>
      <c r="H17" s="180">
        <f t="shared" si="1"/>
        <v>696259.80000000016</v>
      </c>
      <c r="I17" s="181">
        <f t="shared" si="1"/>
        <v>1944723.2999999998</v>
      </c>
      <c r="J17" s="180">
        <f>J18+J34+J39+J83+J95+J139+J215+J250+J259+J307+J330+J348+J387+J391</f>
        <v>72000</v>
      </c>
      <c r="K17" s="181">
        <f t="shared" si="1"/>
        <v>2016723.2999999998</v>
      </c>
      <c r="L17" s="180">
        <f t="shared" si="1"/>
        <v>2651580.1999999997</v>
      </c>
      <c r="M17" s="180">
        <f t="shared" si="1"/>
        <v>61402.9</v>
      </c>
      <c r="N17" s="180">
        <f t="shared" si="1"/>
        <v>2712983.0999999992</v>
      </c>
      <c r="O17" s="178">
        <f t="shared" ref="O17:O84" si="2">L17+M17</f>
        <v>2712983.0999999996</v>
      </c>
      <c r="P17" s="92">
        <f t="shared" ref="P17:P84" si="3">O17-N17</f>
        <v>0</v>
      </c>
    </row>
    <row r="18" spans="1:17" ht="22.15" customHeight="1" x14ac:dyDescent="0.2">
      <c r="A18" s="19" t="s">
        <v>23</v>
      </c>
      <c r="B18" s="182" t="s">
        <v>24</v>
      </c>
      <c r="C18" s="183" t="s">
        <v>25</v>
      </c>
      <c r="D18" s="184" t="s">
        <v>26</v>
      </c>
      <c r="E18" s="185"/>
      <c r="F18" s="186">
        <f t="shared" ref="F18:N18" si="4">F19+F25</f>
        <v>15336.8</v>
      </c>
      <c r="G18" s="186">
        <f t="shared" si="4"/>
        <v>0</v>
      </c>
      <c r="H18" s="186">
        <f t="shared" si="4"/>
        <v>15336.8</v>
      </c>
      <c r="I18" s="187">
        <f t="shared" si="4"/>
        <v>556</v>
      </c>
      <c r="J18" s="186">
        <f>J19+J25</f>
        <v>0</v>
      </c>
      <c r="K18" s="187">
        <f t="shared" si="4"/>
        <v>556</v>
      </c>
      <c r="L18" s="186">
        <f t="shared" si="4"/>
        <v>15892.8</v>
      </c>
      <c r="M18" s="186">
        <f t="shared" si="4"/>
        <v>0</v>
      </c>
      <c r="N18" s="186">
        <f t="shared" si="4"/>
        <v>15892.8</v>
      </c>
      <c r="O18" s="178">
        <f t="shared" si="2"/>
        <v>15892.8</v>
      </c>
      <c r="P18" s="92">
        <f t="shared" si="3"/>
        <v>0</v>
      </c>
      <c r="Q18" s="25"/>
    </row>
    <row r="19" spans="1:17" ht="47.25" x14ac:dyDescent="0.2">
      <c r="A19" s="42"/>
      <c r="B19" s="168" t="s">
        <v>27</v>
      </c>
      <c r="C19" s="169" t="s">
        <v>28</v>
      </c>
      <c r="D19" s="170" t="s">
        <v>26</v>
      </c>
      <c r="E19" s="171"/>
      <c r="F19" s="172">
        <f>F20+F23</f>
        <v>2519.6999999999998</v>
      </c>
      <c r="G19" s="172">
        <f>G20+G23</f>
        <v>0</v>
      </c>
      <c r="H19" s="172">
        <f>H20+H23</f>
        <v>2519.6999999999998</v>
      </c>
      <c r="I19" s="188">
        <f>I20+I23</f>
        <v>400</v>
      </c>
      <c r="J19" s="189"/>
      <c r="K19" s="188">
        <f>K20+K23</f>
        <v>400</v>
      </c>
      <c r="L19" s="172">
        <f>L20+L23</f>
        <v>2919.7</v>
      </c>
      <c r="M19" s="172">
        <f>M20+M23</f>
        <v>0</v>
      </c>
      <c r="N19" s="172">
        <f>N20+N23</f>
        <v>2919.7</v>
      </c>
      <c r="O19" s="178">
        <f t="shared" si="2"/>
        <v>2919.7</v>
      </c>
      <c r="P19" s="92">
        <f t="shared" si="3"/>
        <v>0</v>
      </c>
      <c r="Q19" s="48"/>
    </row>
    <row r="20" spans="1:17" ht="47.25" x14ac:dyDescent="0.2">
      <c r="A20" s="42"/>
      <c r="B20" s="168" t="s">
        <v>29</v>
      </c>
      <c r="C20" s="169" t="s">
        <v>30</v>
      </c>
      <c r="D20" s="170" t="s">
        <v>26</v>
      </c>
      <c r="E20" s="171"/>
      <c r="F20" s="172">
        <f>SUM(F21+F22)</f>
        <v>1889.1</v>
      </c>
      <c r="G20" s="172">
        <f>SUM(G21)</f>
        <v>0</v>
      </c>
      <c r="H20" s="172">
        <f>SUM(F20)+G20</f>
        <v>1889.1</v>
      </c>
      <c r="I20" s="188">
        <f t="shared" ref="I20:N20" si="5">I21+I22</f>
        <v>400</v>
      </c>
      <c r="J20" s="189">
        <f t="shared" si="5"/>
        <v>0</v>
      </c>
      <c r="K20" s="188">
        <f t="shared" si="5"/>
        <v>400</v>
      </c>
      <c r="L20" s="172">
        <f t="shared" si="5"/>
        <v>2289.1</v>
      </c>
      <c r="M20" s="172">
        <f t="shared" si="5"/>
        <v>0</v>
      </c>
      <c r="N20" s="172">
        <f t="shared" si="5"/>
        <v>2289.1</v>
      </c>
      <c r="O20" s="178">
        <f t="shared" si="2"/>
        <v>2289.1</v>
      </c>
      <c r="P20" s="92">
        <f t="shared" si="3"/>
        <v>0</v>
      </c>
    </row>
    <row r="21" spans="1:17" ht="67.900000000000006" customHeight="1" x14ac:dyDescent="0.2">
      <c r="A21" s="42"/>
      <c r="B21" s="168" t="s">
        <v>31</v>
      </c>
      <c r="C21" s="169" t="s">
        <v>30</v>
      </c>
      <c r="D21" s="170" t="s">
        <v>32</v>
      </c>
      <c r="E21" s="171"/>
      <c r="F21" s="172">
        <v>1818.1</v>
      </c>
      <c r="G21" s="172"/>
      <c r="H21" s="172">
        <v>1818.1</v>
      </c>
      <c r="I21" s="188">
        <v>288.2</v>
      </c>
      <c r="J21" s="189"/>
      <c r="K21" s="188">
        <f>SUM(I21:J21)</f>
        <v>288.2</v>
      </c>
      <c r="L21" s="172">
        <f t="shared" ref="L21:N22" si="6">F21+I21</f>
        <v>2106.2999999999997</v>
      </c>
      <c r="M21" s="172">
        <f t="shared" si="6"/>
        <v>0</v>
      </c>
      <c r="N21" s="172">
        <f t="shared" si="6"/>
        <v>2106.2999999999997</v>
      </c>
      <c r="O21" s="178">
        <f t="shared" si="2"/>
        <v>2106.2999999999997</v>
      </c>
      <c r="P21" s="92">
        <f t="shared" si="3"/>
        <v>0</v>
      </c>
    </row>
    <row r="22" spans="1:17" ht="37.15" customHeight="1" x14ac:dyDescent="0.2">
      <c r="A22" s="42"/>
      <c r="B22" s="168" t="s">
        <v>35</v>
      </c>
      <c r="C22" s="169" t="s">
        <v>30</v>
      </c>
      <c r="D22" s="170" t="s">
        <v>36</v>
      </c>
      <c r="E22" s="171"/>
      <c r="F22" s="172">
        <v>71</v>
      </c>
      <c r="G22" s="172"/>
      <c r="H22" s="172">
        <v>71</v>
      </c>
      <c r="I22" s="188">
        <v>111.8</v>
      </c>
      <c r="J22" s="189"/>
      <c r="K22" s="188">
        <f>SUM(I22:J22)</f>
        <v>111.8</v>
      </c>
      <c r="L22" s="172">
        <f t="shared" si="6"/>
        <v>182.8</v>
      </c>
      <c r="M22" s="172">
        <f t="shared" si="6"/>
        <v>0</v>
      </c>
      <c r="N22" s="172">
        <f t="shared" si="6"/>
        <v>182.8</v>
      </c>
      <c r="O22" s="178">
        <f t="shared" si="2"/>
        <v>182.8</v>
      </c>
      <c r="P22" s="92">
        <f t="shared" si="3"/>
        <v>0</v>
      </c>
    </row>
    <row r="23" spans="1:17" ht="36" customHeight="1" x14ac:dyDescent="0.2">
      <c r="A23" s="42"/>
      <c r="B23" s="168" t="s">
        <v>33</v>
      </c>
      <c r="C23" s="169" t="s">
        <v>34</v>
      </c>
      <c r="D23" s="170" t="s">
        <v>26</v>
      </c>
      <c r="E23" s="171"/>
      <c r="F23" s="172">
        <f>F24</f>
        <v>630.6</v>
      </c>
      <c r="G23" s="172">
        <f>G24</f>
        <v>0</v>
      </c>
      <c r="H23" s="172">
        <f>H24</f>
        <v>630.6</v>
      </c>
      <c r="I23" s="188">
        <f>I24</f>
        <v>0</v>
      </c>
      <c r="J23" s="189"/>
      <c r="K23" s="188">
        <f>K24</f>
        <v>0</v>
      </c>
      <c r="L23" s="172">
        <f>L24</f>
        <v>630.6</v>
      </c>
      <c r="M23" s="172">
        <f>M24</f>
        <v>0</v>
      </c>
      <c r="N23" s="172">
        <f>N24</f>
        <v>630.6</v>
      </c>
      <c r="O23" s="178">
        <f t="shared" si="2"/>
        <v>630.6</v>
      </c>
      <c r="P23" s="92">
        <f t="shared" si="3"/>
        <v>0</v>
      </c>
    </row>
    <row r="24" spans="1:17" ht="31.5" x14ac:dyDescent="0.2">
      <c r="A24" s="42"/>
      <c r="B24" s="168" t="s">
        <v>35</v>
      </c>
      <c r="C24" s="169" t="s">
        <v>34</v>
      </c>
      <c r="D24" s="170" t="s">
        <v>36</v>
      </c>
      <c r="E24" s="171"/>
      <c r="F24" s="172">
        <v>630.6</v>
      </c>
      <c r="G24" s="172"/>
      <c r="H24" s="172">
        <f>SUM(F24)+G24</f>
        <v>630.6</v>
      </c>
      <c r="I24" s="188">
        <v>0</v>
      </c>
      <c r="J24" s="189"/>
      <c r="K24" s="188">
        <v>0</v>
      </c>
      <c r="L24" s="172">
        <f>SUM(F24)</f>
        <v>630.6</v>
      </c>
      <c r="M24" s="172">
        <f>SUM(G24)</f>
        <v>0</v>
      </c>
      <c r="N24" s="172">
        <f>SUM(L24)+M24</f>
        <v>630.6</v>
      </c>
      <c r="O24" s="178">
        <f t="shared" si="2"/>
        <v>630.6</v>
      </c>
      <c r="P24" s="92">
        <f t="shared" si="3"/>
        <v>0</v>
      </c>
    </row>
    <row r="25" spans="1:17" ht="47.25" x14ac:dyDescent="0.2">
      <c r="A25" s="42"/>
      <c r="B25" s="168" t="s">
        <v>37</v>
      </c>
      <c r="C25" s="169" t="s">
        <v>38</v>
      </c>
      <c r="D25" s="170" t="s">
        <v>26</v>
      </c>
      <c r="E25" s="171"/>
      <c r="F25" s="172">
        <f>F26+F30</f>
        <v>12817.1</v>
      </c>
      <c r="G25" s="172">
        <f>G26+G30</f>
        <v>0</v>
      </c>
      <c r="H25" s="172">
        <f>H26+H30</f>
        <v>12817.1</v>
      </c>
      <c r="I25" s="188">
        <f>I26+I30+I32</f>
        <v>156</v>
      </c>
      <c r="J25" s="189">
        <f>SUM(J32)</f>
        <v>0</v>
      </c>
      <c r="K25" s="188">
        <f>K26+K30+K32</f>
        <v>156</v>
      </c>
      <c r="L25" s="172">
        <f>L26+L30+L33</f>
        <v>12973.1</v>
      </c>
      <c r="M25" s="172">
        <f>M26+M30+J25</f>
        <v>0</v>
      </c>
      <c r="N25" s="172">
        <f>N26+N30+N33</f>
        <v>12973.1</v>
      </c>
      <c r="O25" s="178">
        <f t="shared" si="2"/>
        <v>12973.1</v>
      </c>
      <c r="P25" s="92">
        <f t="shared" si="3"/>
        <v>0</v>
      </c>
    </row>
    <row r="26" spans="1:17" ht="31.5" x14ac:dyDescent="0.2">
      <c r="A26" s="42"/>
      <c r="B26" s="168" t="s">
        <v>39</v>
      </c>
      <c r="C26" s="169" t="s">
        <v>40</v>
      </c>
      <c r="D26" s="170" t="s">
        <v>26</v>
      </c>
      <c r="E26" s="171"/>
      <c r="F26" s="172">
        <f>F27+F28+F29</f>
        <v>12012</v>
      </c>
      <c r="G26" s="172">
        <f>G27+G28+G29</f>
        <v>0</v>
      </c>
      <c r="H26" s="172">
        <f>H27+H28+H29</f>
        <v>12012</v>
      </c>
      <c r="I26" s="188">
        <f>I27+I28+I29</f>
        <v>0</v>
      </c>
      <c r="J26" s="189">
        <f>SUM(I27)+J28</f>
        <v>0</v>
      </c>
      <c r="K26" s="188">
        <f>K27+K28+K29</f>
        <v>0</v>
      </c>
      <c r="L26" s="172">
        <f>L27+L28+L29</f>
        <v>12012</v>
      </c>
      <c r="M26" s="172">
        <f>M27+M28+M29</f>
        <v>0</v>
      </c>
      <c r="N26" s="172">
        <f>N27+N28+N29</f>
        <v>12012</v>
      </c>
      <c r="O26" s="178">
        <f t="shared" si="2"/>
        <v>12012</v>
      </c>
      <c r="P26" s="92">
        <f t="shared" si="3"/>
        <v>0</v>
      </c>
    </row>
    <row r="27" spans="1:17" ht="67.900000000000006" customHeight="1" x14ac:dyDescent="0.2">
      <c r="A27" s="42"/>
      <c r="B27" s="168" t="s">
        <v>31</v>
      </c>
      <c r="C27" s="169" t="s">
        <v>40</v>
      </c>
      <c r="D27" s="170" t="s">
        <v>32</v>
      </c>
      <c r="E27" s="171"/>
      <c r="F27" s="172">
        <v>8949.5</v>
      </c>
      <c r="G27" s="172"/>
      <c r="H27" s="172">
        <f>SUM(F27)+G27</f>
        <v>8949.5</v>
      </c>
      <c r="I27" s="188">
        <v>0</v>
      </c>
      <c r="J27" s="189"/>
      <c r="K27" s="188">
        <v>0</v>
      </c>
      <c r="L27" s="172">
        <f>SUM(F27)</f>
        <v>8949.5</v>
      </c>
      <c r="M27" s="172">
        <f>SUM(G27)</f>
        <v>0</v>
      </c>
      <c r="N27" s="172">
        <f>SUM(H27)</f>
        <v>8949.5</v>
      </c>
      <c r="O27" s="178">
        <f t="shared" si="2"/>
        <v>8949.5</v>
      </c>
      <c r="P27" s="92">
        <f t="shared" si="3"/>
        <v>0</v>
      </c>
    </row>
    <row r="28" spans="1:17" ht="31.5" x14ac:dyDescent="0.2">
      <c r="A28" s="42"/>
      <c r="B28" s="168" t="s">
        <v>35</v>
      </c>
      <c r="C28" s="169" t="s">
        <v>40</v>
      </c>
      <c r="D28" s="170" t="s">
        <v>36</v>
      </c>
      <c r="E28" s="171"/>
      <c r="F28" s="172">
        <v>3058.8</v>
      </c>
      <c r="G28" s="172"/>
      <c r="H28" s="172">
        <f>SUM(F28)+G28</f>
        <v>3058.8</v>
      </c>
      <c r="I28" s="188">
        <v>0</v>
      </c>
      <c r="J28" s="189"/>
      <c r="K28" s="188">
        <f>SUM(J28)</f>
        <v>0</v>
      </c>
      <c r="L28" s="172">
        <f>SUM(F28)</f>
        <v>3058.8</v>
      </c>
      <c r="M28" s="172">
        <f>SUM(G28+J28)</f>
        <v>0</v>
      </c>
      <c r="N28" s="172">
        <f>SUM(H28)</f>
        <v>3058.8</v>
      </c>
      <c r="O28" s="178">
        <f t="shared" si="2"/>
        <v>3058.8</v>
      </c>
      <c r="P28" s="92">
        <f t="shared" si="3"/>
        <v>0</v>
      </c>
    </row>
    <row r="29" spans="1:17" ht="18.75" x14ac:dyDescent="0.2">
      <c r="A29" s="42"/>
      <c r="B29" s="168" t="s">
        <v>41</v>
      </c>
      <c r="C29" s="169" t="s">
        <v>40</v>
      </c>
      <c r="D29" s="170" t="s">
        <v>42</v>
      </c>
      <c r="E29" s="171"/>
      <c r="F29" s="172">
        <v>3.7</v>
      </c>
      <c r="G29" s="172"/>
      <c r="H29" s="172">
        <v>3.7</v>
      </c>
      <c r="I29" s="188">
        <v>0</v>
      </c>
      <c r="J29" s="189"/>
      <c r="K29" s="188">
        <v>0</v>
      </c>
      <c r="L29" s="172">
        <v>3.7</v>
      </c>
      <c r="M29" s="172"/>
      <c r="N29" s="172">
        <v>3.7</v>
      </c>
      <c r="O29" s="178">
        <f t="shared" si="2"/>
        <v>3.7</v>
      </c>
      <c r="P29" s="92">
        <f t="shared" si="3"/>
        <v>0</v>
      </c>
    </row>
    <row r="30" spans="1:17" ht="31.5" x14ac:dyDescent="0.2">
      <c r="A30" s="42"/>
      <c r="B30" s="168" t="s">
        <v>43</v>
      </c>
      <c r="C30" s="169" t="s">
        <v>44</v>
      </c>
      <c r="D30" s="170" t="s">
        <v>26</v>
      </c>
      <c r="E30" s="171"/>
      <c r="F30" s="172">
        <f>F31</f>
        <v>805.1</v>
      </c>
      <c r="G30" s="172">
        <f>G31</f>
        <v>0</v>
      </c>
      <c r="H30" s="172">
        <f>H31</f>
        <v>805.1</v>
      </c>
      <c r="I30" s="188">
        <f>I31</f>
        <v>0</v>
      </c>
      <c r="J30" s="189"/>
      <c r="K30" s="188">
        <f>K31</f>
        <v>0</v>
      </c>
      <c r="L30" s="172">
        <f>L31</f>
        <v>805.1</v>
      </c>
      <c r="M30" s="172">
        <f>M31</f>
        <v>0</v>
      </c>
      <c r="N30" s="172">
        <f>N31</f>
        <v>805.1</v>
      </c>
      <c r="O30" s="178">
        <f t="shared" si="2"/>
        <v>805.1</v>
      </c>
      <c r="P30" s="92">
        <f t="shared" si="3"/>
        <v>0</v>
      </c>
    </row>
    <row r="31" spans="1:17" ht="31.5" x14ac:dyDescent="0.2">
      <c r="A31" s="42"/>
      <c r="B31" s="168" t="s">
        <v>35</v>
      </c>
      <c r="C31" s="169" t="s">
        <v>44</v>
      </c>
      <c r="D31" s="170" t="s">
        <v>36</v>
      </c>
      <c r="E31" s="171"/>
      <c r="F31" s="172">
        <v>805.1</v>
      </c>
      <c r="G31" s="172"/>
      <c r="H31" s="172">
        <f>SUM(F31)+G31</f>
        <v>805.1</v>
      </c>
      <c r="I31" s="188">
        <v>0</v>
      </c>
      <c r="J31" s="189"/>
      <c r="K31" s="188">
        <v>0</v>
      </c>
      <c r="L31" s="172">
        <f>SUM(F31)</f>
        <v>805.1</v>
      </c>
      <c r="M31" s="172">
        <f>SUM(G31)</f>
        <v>0</v>
      </c>
      <c r="N31" s="172">
        <f>SUM(H31)</f>
        <v>805.1</v>
      </c>
      <c r="O31" s="178">
        <f t="shared" si="2"/>
        <v>805.1</v>
      </c>
      <c r="P31" s="92">
        <f t="shared" si="3"/>
        <v>0</v>
      </c>
    </row>
    <row r="32" spans="1:17" ht="63" x14ac:dyDescent="0.2">
      <c r="A32" s="42"/>
      <c r="B32" s="158" t="s">
        <v>45</v>
      </c>
      <c r="C32" s="169" t="s">
        <v>46</v>
      </c>
      <c r="D32" s="170"/>
      <c r="E32" s="171"/>
      <c r="F32" s="172"/>
      <c r="G32" s="172"/>
      <c r="H32" s="172"/>
      <c r="I32" s="188">
        <f>SUM(I33)</f>
        <v>156</v>
      </c>
      <c r="J32" s="189">
        <f>SUM(J33)</f>
        <v>0</v>
      </c>
      <c r="K32" s="188">
        <f>SUM(I32)</f>
        <v>156</v>
      </c>
      <c r="L32" s="172">
        <f>SUM(I32)</f>
        <v>156</v>
      </c>
      <c r="M32" s="172"/>
      <c r="N32" s="172">
        <f>SUM(K32)</f>
        <v>156</v>
      </c>
      <c r="O32" s="178">
        <f t="shared" si="2"/>
        <v>156</v>
      </c>
      <c r="P32" s="92">
        <f t="shared" si="3"/>
        <v>0</v>
      </c>
    </row>
    <row r="33" spans="1:17" ht="31.5" x14ac:dyDescent="0.2">
      <c r="A33" s="42"/>
      <c r="B33" s="168" t="s">
        <v>35</v>
      </c>
      <c r="C33" s="169" t="s">
        <v>46</v>
      </c>
      <c r="D33" s="170" t="s">
        <v>36</v>
      </c>
      <c r="E33" s="171"/>
      <c r="F33" s="172"/>
      <c r="G33" s="172"/>
      <c r="H33" s="172"/>
      <c r="I33" s="188">
        <v>156</v>
      </c>
      <c r="J33" s="189"/>
      <c r="K33" s="188">
        <f>SUM(I33)</f>
        <v>156</v>
      </c>
      <c r="L33" s="172">
        <f>SUM(I33)</f>
        <v>156</v>
      </c>
      <c r="M33" s="172">
        <f>SUM(J33)</f>
        <v>0</v>
      </c>
      <c r="N33" s="172">
        <f>SUM(K33)</f>
        <v>156</v>
      </c>
      <c r="O33" s="178">
        <f t="shared" si="2"/>
        <v>156</v>
      </c>
      <c r="P33" s="92">
        <f t="shared" si="3"/>
        <v>0</v>
      </c>
    </row>
    <row r="34" spans="1:17" ht="31.5" x14ac:dyDescent="0.2">
      <c r="A34" s="19" t="s">
        <v>47</v>
      </c>
      <c r="B34" s="182" t="s">
        <v>48</v>
      </c>
      <c r="C34" s="183" t="s">
        <v>49</v>
      </c>
      <c r="D34" s="184" t="s">
        <v>26</v>
      </c>
      <c r="E34" s="185"/>
      <c r="F34" s="186">
        <f t="shared" ref="F34:N35" si="7">F35</f>
        <v>1813.8</v>
      </c>
      <c r="G34" s="186">
        <f t="shared" si="7"/>
        <v>0</v>
      </c>
      <c r="H34" s="186">
        <f t="shared" si="7"/>
        <v>1813.8</v>
      </c>
      <c r="I34" s="187">
        <f t="shared" si="7"/>
        <v>0</v>
      </c>
      <c r="J34" s="186">
        <f t="shared" si="7"/>
        <v>0</v>
      </c>
      <c r="K34" s="187">
        <f t="shared" si="7"/>
        <v>0</v>
      </c>
      <c r="L34" s="186">
        <f t="shared" si="7"/>
        <v>1813.8</v>
      </c>
      <c r="M34" s="186">
        <f t="shared" si="7"/>
        <v>0</v>
      </c>
      <c r="N34" s="186">
        <f t="shared" si="7"/>
        <v>1813.8</v>
      </c>
      <c r="O34" s="178">
        <f t="shared" si="2"/>
        <v>1813.8</v>
      </c>
      <c r="P34" s="92">
        <f t="shared" si="3"/>
        <v>0</v>
      </c>
    </row>
    <row r="35" spans="1:17" ht="50.45" customHeight="1" x14ac:dyDescent="0.2">
      <c r="A35" s="42"/>
      <c r="B35" s="168" t="s">
        <v>50</v>
      </c>
      <c r="C35" s="169" t="s">
        <v>51</v>
      </c>
      <c r="D35" s="170" t="s">
        <v>26</v>
      </c>
      <c r="E35" s="171"/>
      <c r="F35" s="172">
        <f t="shared" si="7"/>
        <v>1813.8</v>
      </c>
      <c r="G35" s="172">
        <f t="shared" si="7"/>
        <v>0</v>
      </c>
      <c r="H35" s="172">
        <f t="shared" si="7"/>
        <v>1813.8</v>
      </c>
      <c r="I35" s="188">
        <f t="shared" si="7"/>
        <v>0</v>
      </c>
      <c r="J35" s="189"/>
      <c r="K35" s="188">
        <f t="shared" si="7"/>
        <v>0</v>
      </c>
      <c r="L35" s="172">
        <f t="shared" si="7"/>
        <v>1813.8</v>
      </c>
      <c r="M35" s="172">
        <f t="shared" si="7"/>
        <v>0</v>
      </c>
      <c r="N35" s="172">
        <f t="shared" si="7"/>
        <v>1813.8</v>
      </c>
      <c r="O35" s="178">
        <f t="shared" si="2"/>
        <v>1813.8</v>
      </c>
      <c r="P35" s="92">
        <f t="shared" si="3"/>
        <v>0</v>
      </c>
    </row>
    <row r="36" spans="1:17" ht="36.6" customHeight="1" x14ac:dyDescent="0.2">
      <c r="A36" s="42"/>
      <c r="B36" s="168" t="s">
        <v>52</v>
      </c>
      <c r="C36" s="169" t="s">
        <v>53</v>
      </c>
      <c r="D36" s="170" t="s">
        <v>26</v>
      </c>
      <c r="E36" s="171"/>
      <c r="F36" s="172">
        <f>F37+F38</f>
        <v>1813.8</v>
      </c>
      <c r="G36" s="172">
        <f>G37+G38</f>
        <v>0</v>
      </c>
      <c r="H36" s="172">
        <f>H37+H38</f>
        <v>1813.8</v>
      </c>
      <c r="I36" s="188">
        <f>I37+I38</f>
        <v>0</v>
      </c>
      <c r="J36" s="189"/>
      <c r="K36" s="188">
        <f>K37+K38</f>
        <v>0</v>
      </c>
      <c r="L36" s="172">
        <f>L37+L38</f>
        <v>1813.8</v>
      </c>
      <c r="M36" s="172">
        <f>M37+M38</f>
        <v>0</v>
      </c>
      <c r="N36" s="172">
        <f>N37+N38</f>
        <v>1813.8</v>
      </c>
      <c r="O36" s="178">
        <f t="shared" si="2"/>
        <v>1813.8</v>
      </c>
      <c r="P36" s="92">
        <f t="shared" si="3"/>
        <v>0</v>
      </c>
    </row>
    <row r="37" spans="1:17" ht="31.5" x14ac:dyDescent="0.2">
      <c r="A37" s="42"/>
      <c r="B37" s="168" t="s">
        <v>35</v>
      </c>
      <c r="C37" s="169" t="s">
        <v>53</v>
      </c>
      <c r="D37" s="170" t="s">
        <v>36</v>
      </c>
      <c r="E37" s="171"/>
      <c r="F37" s="172">
        <v>300</v>
      </c>
      <c r="G37" s="172"/>
      <c r="H37" s="172">
        <v>300</v>
      </c>
      <c r="I37" s="188"/>
      <c r="J37" s="189"/>
      <c r="K37" s="188"/>
      <c r="L37" s="172">
        <v>300</v>
      </c>
      <c r="M37" s="172"/>
      <c r="N37" s="172">
        <v>300</v>
      </c>
      <c r="O37" s="178">
        <f t="shared" si="2"/>
        <v>300</v>
      </c>
      <c r="P37" s="92">
        <f t="shared" si="3"/>
        <v>0</v>
      </c>
    </row>
    <row r="38" spans="1:17" ht="18.75" x14ac:dyDescent="0.2">
      <c r="A38" s="42"/>
      <c r="B38" s="168" t="s">
        <v>54</v>
      </c>
      <c r="C38" s="169" t="s">
        <v>53</v>
      </c>
      <c r="D38" s="170" t="s">
        <v>55</v>
      </c>
      <c r="E38" s="171"/>
      <c r="F38" s="172">
        <v>1513.8</v>
      </c>
      <c r="G38" s="172"/>
      <c r="H38" s="172">
        <v>1513.8</v>
      </c>
      <c r="I38" s="188"/>
      <c r="J38" s="189"/>
      <c r="K38" s="188"/>
      <c r="L38" s="172">
        <v>1513.8</v>
      </c>
      <c r="M38" s="172"/>
      <c r="N38" s="172">
        <v>1513.8</v>
      </c>
      <c r="O38" s="178">
        <f t="shared" si="2"/>
        <v>1513.8</v>
      </c>
      <c r="P38" s="92">
        <f t="shared" si="3"/>
        <v>0</v>
      </c>
    </row>
    <row r="39" spans="1:17" ht="31.5" x14ac:dyDescent="0.2">
      <c r="A39" s="19" t="s">
        <v>56</v>
      </c>
      <c r="B39" s="182" t="s">
        <v>57</v>
      </c>
      <c r="C39" s="183" t="s">
        <v>58</v>
      </c>
      <c r="D39" s="184" t="s">
        <v>26</v>
      </c>
      <c r="E39" s="185"/>
      <c r="F39" s="186">
        <f t="shared" ref="F39:N39" si="8">F40+F48+F73</f>
        <v>142785.9</v>
      </c>
      <c r="G39" s="186">
        <f>G40+G48+G73</f>
        <v>1047.4000000000001</v>
      </c>
      <c r="H39" s="186">
        <f t="shared" si="8"/>
        <v>143833.30000000002</v>
      </c>
      <c r="I39" s="187">
        <f t="shared" si="8"/>
        <v>27919.600000000002</v>
      </c>
      <c r="J39" s="271">
        <f t="shared" si="8"/>
        <v>0</v>
      </c>
      <c r="K39" s="187">
        <f t="shared" si="8"/>
        <v>27919.600000000002</v>
      </c>
      <c r="L39" s="186">
        <f t="shared" si="8"/>
        <v>170705.5</v>
      </c>
      <c r="M39" s="271">
        <f t="shared" si="8"/>
        <v>1047.4000000000001</v>
      </c>
      <c r="N39" s="271">
        <f t="shared" si="8"/>
        <v>171752.90000000002</v>
      </c>
      <c r="O39" s="178">
        <f t="shared" si="2"/>
        <v>171752.9</v>
      </c>
      <c r="P39" s="92">
        <f t="shared" si="3"/>
        <v>0</v>
      </c>
      <c r="Q39" s="25"/>
    </row>
    <row r="40" spans="1:17" ht="18.75" x14ac:dyDescent="0.2">
      <c r="A40" s="49"/>
      <c r="B40" s="190" t="s">
        <v>59</v>
      </c>
      <c r="C40" s="191" t="s">
        <v>60</v>
      </c>
      <c r="D40" s="192" t="s">
        <v>26</v>
      </c>
      <c r="E40" s="193"/>
      <c r="F40" s="194">
        <f>F41</f>
        <v>7359.9</v>
      </c>
      <c r="G40" s="194">
        <f>G41</f>
        <v>-431.7</v>
      </c>
      <c r="H40" s="194">
        <f>H41</f>
        <v>6928.2</v>
      </c>
      <c r="I40" s="195">
        <f>I41</f>
        <v>0</v>
      </c>
      <c r="J40" s="196"/>
      <c r="K40" s="195">
        <f>K41</f>
        <v>0</v>
      </c>
      <c r="L40" s="194">
        <f>L41</f>
        <v>7359.9</v>
      </c>
      <c r="M40" s="194">
        <f>M41</f>
        <v>-431.7</v>
      </c>
      <c r="N40" s="194">
        <f>N41</f>
        <v>6928.2</v>
      </c>
      <c r="O40" s="178">
        <f t="shared" si="2"/>
        <v>6928.2</v>
      </c>
      <c r="P40" s="92">
        <f t="shared" si="3"/>
        <v>0</v>
      </c>
    </row>
    <row r="41" spans="1:17" ht="18.75" x14ac:dyDescent="0.2">
      <c r="A41" s="42"/>
      <c r="B41" s="168" t="s">
        <v>61</v>
      </c>
      <c r="C41" s="169" t="s">
        <v>62</v>
      </c>
      <c r="D41" s="170" t="s">
        <v>26</v>
      </c>
      <c r="E41" s="171"/>
      <c r="F41" s="172">
        <f>F42+F44+F46</f>
        <v>7359.9</v>
      </c>
      <c r="G41" s="172">
        <f>G42+G44+G46</f>
        <v>-431.7</v>
      </c>
      <c r="H41" s="172">
        <f>H42+H44+H46</f>
        <v>6928.2</v>
      </c>
      <c r="I41" s="188">
        <f>I42+I44+I46</f>
        <v>0</v>
      </c>
      <c r="J41" s="189"/>
      <c r="K41" s="188">
        <f>K42+K44+K46</f>
        <v>0</v>
      </c>
      <c r="L41" s="172">
        <f>L42+L44+L46</f>
        <v>7359.9</v>
      </c>
      <c r="M41" s="172">
        <f>M42+M44+M46</f>
        <v>-431.7</v>
      </c>
      <c r="N41" s="172">
        <f>N42+N44+N46</f>
        <v>6928.2</v>
      </c>
      <c r="O41" s="178">
        <f t="shared" si="2"/>
        <v>6928.2</v>
      </c>
      <c r="P41" s="92">
        <f t="shared" si="3"/>
        <v>0</v>
      </c>
    </row>
    <row r="42" spans="1:17" ht="18.75" x14ac:dyDescent="0.2">
      <c r="A42" s="42"/>
      <c r="B42" s="168" t="s">
        <v>63</v>
      </c>
      <c r="C42" s="169" t="s">
        <v>64</v>
      </c>
      <c r="D42" s="170" t="s">
        <v>26</v>
      </c>
      <c r="E42" s="171"/>
      <c r="F42" s="172">
        <f>F43</f>
        <v>6459.9</v>
      </c>
      <c r="G42" s="172">
        <f>G43</f>
        <v>-431.7</v>
      </c>
      <c r="H42" s="172">
        <f>H43</f>
        <v>6028.2</v>
      </c>
      <c r="I42" s="188">
        <f>I43</f>
        <v>0</v>
      </c>
      <c r="J42" s="189"/>
      <c r="K42" s="188">
        <f>K43</f>
        <v>0</v>
      </c>
      <c r="L42" s="172">
        <f>L43</f>
        <v>6459.9</v>
      </c>
      <c r="M42" s="172">
        <f>M43</f>
        <v>-431.7</v>
      </c>
      <c r="N42" s="172">
        <f>N43</f>
        <v>6028.2</v>
      </c>
      <c r="O42" s="178">
        <f t="shared" si="2"/>
        <v>6028.2</v>
      </c>
      <c r="P42" s="92">
        <f t="shared" si="3"/>
        <v>0</v>
      </c>
    </row>
    <row r="43" spans="1:17" ht="31.5" x14ac:dyDescent="0.2">
      <c r="A43" s="42"/>
      <c r="B43" s="168" t="s">
        <v>35</v>
      </c>
      <c r="C43" s="169" t="s">
        <v>64</v>
      </c>
      <c r="D43" s="170" t="s">
        <v>36</v>
      </c>
      <c r="E43" s="171"/>
      <c r="F43" s="172">
        <v>6459.9</v>
      </c>
      <c r="G43" s="172">
        <f>-22-409.7</f>
        <v>-431.7</v>
      </c>
      <c r="H43" s="172">
        <f>SUM(F43)+G43</f>
        <v>6028.2</v>
      </c>
      <c r="I43" s="188">
        <v>0</v>
      </c>
      <c r="J43" s="189"/>
      <c r="K43" s="188">
        <v>0</v>
      </c>
      <c r="L43" s="172">
        <f>SUM(F43)</f>
        <v>6459.9</v>
      </c>
      <c r="M43" s="172">
        <f>SUM(G43)</f>
        <v>-431.7</v>
      </c>
      <c r="N43" s="172">
        <f>SUM(L43)+M43</f>
        <v>6028.2</v>
      </c>
      <c r="O43" s="178">
        <f t="shared" si="2"/>
        <v>6028.2</v>
      </c>
      <c r="P43" s="92">
        <f t="shared" si="3"/>
        <v>0</v>
      </c>
    </row>
    <row r="44" spans="1:17" ht="18.75" x14ac:dyDescent="0.2">
      <c r="A44" s="42"/>
      <c r="B44" s="168" t="s">
        <v>65</v>
      </c>
      <c r="C44" s="169" t="s">
        <v>66</v>
      </c>
      <c r="D44" s="170" t="s">
        <v>26</v>
      </c>
      <c r="E44" s="171"/>
      <c r="F44" s="172">
        <f>F45</f>
        <v>900</v>
      </c>
      <c r="G44" s="172">
        <f>G45</f>
        <v>0</v>
      </c>
      <c r="H44" s="172">
        <f>H45</f>
        <v>900</v>
      </c>
      <c r="I44" s="188">
        <f>I45</f>
        <v>0</v>
      </c>
      <c r="J44" s="189"/>
      <c r="K44" s="188">
        <f>K45</f>
        <v>0</v>
      </c>
      <c r="L44" s="172">
        <f>L45</f>
        <v>900</v>
      </c>
      <c r="M44" s="172">
        <f>M45</f>
        <v>0</v>
      </c>
      <c r="N44" s="172">
        <f>N45</f>
        <v>900</v>
      </c>
      <c r="O44" s="178">
        <f t="shared" si="2"/>
        <v>900</v>
      </c>
      <c r="P44" s="92">
        <f t="shared" si="3"/>
        <v>0</v>
      </c>
    </row>
    <row r="45" spans="1:17" ht="31.5" x14ac:dyDescent="0.2">
      <c r="A45" s="42"/>
      <c r="B45" s="168" t="s">
        <v>35</v>
      </c>
      <c r="C45" s="169" t="s">
        <v>66</v>
      </c>
      <c r="D45" s="170" t="s">
        <v>36</v>
      </c>
      <c r="E45" s="171"/>
      <c r="F45" s="172">
        <v>900</v>
      </c>
      <c r="G45" s="172"/>
      <c r="H45" s="172">
        <v>900</v>
      </c>
      <c r="I45" s="188">
        <v>0</v>
      </c>
      <c r="J45" s="189"/>
      <c r="K45" s="188">
        <v>0</v>
      </c>
      <c r="L45" s="172">
        <f>SUM(F45)</f>
        <v>900</v>
      </c>
      <c r="M45" s="172">
        <f>SUM(G45)</f>
        <v>0</v>
      </c>
      <c r="N45" s="172">
        <f>SUM(H45)</f>
        <v>900</v>
      </c>
      <c r="O45" s="178">
        <f t="shared" si="2"/>
        <v>900</v>
      </c>
      <c r="P45" s="92">
        <f t="shared" si="3"/>
        <v>0</v>
      </c>
    </row>
    <row r="46" spans="1:17" ht="18.75" x14ac:dyDescent="0.2">
      <c r="A46" s="42"/>
      <c r="B46" s="168" t="s">
        <v>67</v>
      </c>
      <c r="C46" s="169" t="s">
        <v>68</v>
      </c>
      <c r="D46" s="170" t="s">
        <v>26</v>
      </c>
      <c r="E46" s="171"/>
      <c r="F46" s="172">
        <f>F47</f>
        <v>0</v>
      </c>
      <c r="G46" s="172">
        <f>G47</f>
        <v>0</v>
      </c>
      <c r="H46" s="172">
        <f>H47</f>
        <v>0</v>
      </c>
      <c r="I46" s="188">
        <f>I47</f>
        <v>0</v>
      </c>
      <c r="J46" s="189"/>
      <c r="K46" s="188">
        <f>K47</f>
        <v>0</v>
      </c>
      <c r="L46" s="172">
        <f>L47</f>
        <v>0</v>
      </c>
      <c r="M46" s="172">
        <f>M47</f>
        <v>0</v>
      </c>
      <c r="N46" s="172">
        <f>N47</f>
        <v>0</v>
      </c>
      <c r="O46" s="178">
        <f t="shared" si="2"/>
        <v>0</v>
      </c>
      <c r="P46" s="92">
        <f t="shared" si="3"/>
        <v>0</v>
      </c>
    </row>
    <row r="47" spans="1:17" ht="31.5" x14ac:dyDescent="0.2">
      <c r="A47" s="42"/>
      <c r="B47" s="168" t="s">
        <v>35</v>
      </c>
      <c r="C47" s="169" t="s">
        <v>68</v>
      </c>
      <c r="D47" s="170" t="s">
        <v>36</v>
      </c>
      <c r="E47" s="171"/>
      <c r="F47" s="172"/>
      <c r="G47" s="172"/>
      <c r="H47" s="172"/>
      <c r="I47" s="188">
        <v>0</v>
      </c>
      <c r="J47" s="189"/>
      <c r="K47" s="188">
        <v>0</v>
      </c>
      <c r="L47" s="172"/>
      <c r="M47" s="172"/>
      <c r="N47" s="172"/>
      <c r="O47" s="178">
        <f t="shared" si="2"/>
        <v>0</v>
      </c>
      <c r="P47" s="92">
        <f t="shared" si="3"/>
        <v>0</v>
      </c>
    </row>
    <row r="48" spans="1:17" ht="47.25" x14ac:dyDescent="0.2">
      <c r="A48" s="49"/>
      <c r="B48" s="190" t="s">
        <v>69</v>
      </c>
      <c r="C48" s="191" t="s">
        <v>70</v>
      </c>
      <c r="D48" s="192" t="s">
        <v>26</v>
      </c>
      <c r="E48" s="193"/>
      <c r="F48" s="194">
        <f t="shared" ref="F48:N48" si="9">F49+F68+F65</f>
        <v>133335.4</v>
      </c>
      <c r="G48" s="194">
        <f t="shared" si="9"/>
        <v>431.70000000000005</v>
      </c>
      <c r="H48" s="194">
        <f t="shared" si="9"/>
        <v>133767.1</v>
      </c>
      <c r="I48" s="195">
        <f t="shared" si="9"/>
        <v>27919.600000000002</v>
      </c>
      <c r="J48" s="194">
        <f t="shared" si="9"/>
        <v>0</v>
      </c>
      <c r="K48" s="195">
        <f t="shared" si="9"/>
        <v>27919.600000000002</v>
      </c>
      <c r="L48" s="194">
        <f t="shared" si="9"/>
        <v>161255</v>
      </c>
      <c r="M48" s="194">
        <f t="shared" si="9"/>
        <v>431.70000000000005</v>
      </c>
      <c r="N48" s="272">
        <f t="shared" si="9"/>
        <v>161686.70000000001</v>
      </c>
      <c r="O48" s="178">
        <f t="shared" si="2"/>
        <v>161686.70000000001</v>
      </c>
      <c r="P48" s="92">
        <f t="shared" si="3"/>
        <v>0</v>
      </c>
      <c r="Q48" s="55"/>
    </row>
    <row r="49" spans="1:18" ht="36.6" customHeight="1" x14ac:dyDescent="0.2">
      <c r="A49" s="42"/>
      <c r="B49" s="168" t="s">
        <v>71</v>
      </c>
      <c r="C49" s="169" t="s">
        <v>72</v>
      </c>
      <c r="D49" s="170" t="s">
        <v>26</v>
      </c>
      <c r="E49" s="171"/>
      <c r="F49" s="172">
        <f>F50+F59+F63+F57+F55</f>
        <v>121818.9</v>
      </c>
      <c r="G49" s="172">
        <f>G50+G59+G63+G57+G55</f>
        <v>431.70000000000005</v>
      </c>
      <c r="H49" s="172">
        <f>H50+H59+H63+H57+H55</f>
        <v>122250.6</v>
      </c>
      <c r="I49" s="172">
        <f>I50+I59+I63+I57+I61</f>
        <v>26357.100000000002</v>
      </c>
      <c r="J49" s="172">
        <f>SUM(J57)+J50+J59+J61</f>
        <v>0</v>
      </c>
      <c r="K49" s="172">
        <f>K50+K59+K63+K57+K61</f>
        <v>26357.100000000002</v>
      </c>
      <c r="L49" s="172">
        <f>SUM(F49+I49)</f>
        <v>148176</v>
      </c>
      <c r="M49" s="172">
        <f>M50+M59+M63+M65+M57+M55</f>
        <v>431.70000000000005</v>
      </c>
      <c r="N49" s="273">
        <f>H49+K49</f>
        <v>148607.70000000001</v>
      </c>
      <c r="O49" s="178">
        <f t="shared" si="2"/>
        <v>148607.70000000001</v>
      </c>
      <c r="P49" s="92">
        <f t="shared" si="3"/>
        <v>0</v>
      </c>
      <c r="Q49" s="48">
        <v>148176</v>
      </c>
      <c r="R49" s="276">
        <f>Q49-N49</f>
        <v>-431.70000000001164</v>
      </c>
    </row>
    <row r="50" spans="1:18" ht="31.5" x14ac:dyDescent="0.2">
      <c r="A50" s="42"/>
      <c r="B50" s="168" t="s">
        <v>39</v>
      </c>
      <c r="C50" s="169" t="s">
        <v>73</v>
      </c>
      <c r="D50" s="170" t="s">
        <v>26</v>
      </c>
      <c r="E50" s="171"/>
      <c r="F50" s="172">
        <f>SUM(F53+F54+F52)+F51</f>
        <v>115161.5</v>
      </c>
      <c r="G50" s="172">
        <f>G51+G52+G53+G54</f>
        <v>22</v>
      </c>
      <c r="H50" s="172">
        <f>H51+H52+H53+H54</f>
        <v>115183.5</v>
      </c>
      <c r="I50" s="188">
        <f>I51+I52+I53+I54</f>
        <v>22010.9</v>
      </c>
      <c r="J50" s="189">
        <f>SUM(J53+J51)</f>
        <v>0</v>
      </c>
      <c r="K50" s="188">
        <f>K51+K52+K53+K54</f>
        <v>22010.9</v>
      </c>
      <c r="L50" s="172">
        <f>L51+L52+L53+L54</f>
        <v>137172.4</v>
      </c>
      <c r="M50" s="172">
        <f>M51+M52+M53+M54</f>
        <v>22</v>
      </c>
      <c r="N50" s="273">
        <f>N51+N52+N53+N54</f>
        <v>137194.4</v>
      </c>
      <c r="O50" s="178">
        <f t="shared" si="2"/>
        <v>137194.4</v>
      </c>
      <c r="P50" s="92">
        <f t="shared" si="3"/>
        <v>0</v>
      </c>
    </row>
    <row r="51" spans="1:18" ht="64.150000000000006" customHeight="1" x14ac:dyDescent="0.2">
      <c r="A51" s="42"/>
      <c r="B51" s="168" t="s">
        <v>31</v>
      </c>
      <c r="C51" s="169" t="s">
        <v>73</v>
      </c>
      <c r="D51" s="170" t="s">
        <v>32</v>
      </c>
      <c r="E51" s="171"/>
      <c r="F51" s="172">
        <v>20631.5</v>
      </c>
      <c r="G51" s="172">
        <f>-6-15</f>
        <v>-21</v>
      </c>
      <c r="H51" s="172">
        <f>F51+G51</f>
        <v>20610.5</v>
      </c>
      <c r="I51" s="188">
        <v>4193.2</v>
      </c>
      <c r="J51" s="189"/>
      <c r="K51" s="188">
        <f>I51+J51</f>
        <v>4193.2</v>
      </c>
      <c r="L51" s="172">
        <f>F51+I51</f>
        <v>24824.7</v>
      </c>
      <c r="M51" s="172">
        <f>G51+J51</f>
        <v>-21</v>
      </c>
      <c r="N51" s="273">
        <f>H51+K51</f>
        <v>24803.7</v>
      </c>
      <c r="O51" s="178">
        <f t="shared" si="2"/>
        <v>24803.7</v>
      </c>
      <c r="P51" s="92">
        <f t="shared" si="3"/>
        <v>0</v>
      </c>
    </row>
    <row r="52" spans="1:18" ht="31.5" x14ac:dyDescent="0.2">
      <c r="A52" s="42"/>
      <c r="B52" s="168" t="s">
        <v>35</v>
      </c>
      <c r="C52" s="169" t="s">
        <v>73</v>
      </c>
      <c r="D52" s="170" t="s">
        <v>36</v>
      </c>
      <c r="E52" s="171"/>
      <c r="F52" s="172">
        <v>6632.7</v>
      </c>
      <c r="G52" s="172">
        <f>-15+21+22+15</f>
        <v>43</v>
      </c>
      <c r="H52" s="172">
        <f>SUM(F52)+G52</f>
        <v>6675.7</v>
      </c>
      <c r="I52" s="188">
        <v>0</v>
      </c>
      <c r="J52" s="189"/>
      <c r="K52" s="188">
        <v>0</v>
      </c>
      <c r="L52" s="172">
        <f>SUM(F52)</f>
        <v>6632.7</v>
      </c>
      <c r="M52" s="172">
        <f>SUM(G52)</f>
        <v>43</v>
      </c>
      <c r="N52" s="273">
        <f>SUM(H52)</f>
        <v>6675.7</v>
      </c>
      <c r="O52" s="178">
        <f t="shared" si="2"/>
        <v>6675.7</v>
      </c>
      <c r="P52" s="92">
        <f t="shared" si="3"/>
        <v>0</v>
      </c>
    </row>
    <row r="53" spans="1:18" ht="31.5" x14ac:dyDescent="0.2">
      <c r="A53" s="42"/>
      <c r="B53" s="168" t="s">
        <v>74</v>
      </c>
      <c r="C53" s="169" t="s">
        <v>73</v>
      </c>
      <c r="D53" s="170" t="s">
        <v>75</v>
      </c>
      <c r="E53" s="171"/>
      <c r="F53" s="172">
        <f>86661+1213.2</f>
        <v>87874.2</v>
      </c>
      <c r="G53" s="172"/>
      <c r="H53" s="172">
        <f>86661+1213.2</f>
        <v>87874.2</v>
      </c>
      <c r="I53" s="188">
        <v>17817.7</v>
      </c>
      <c r="J53" s="189"/>
      <c r="K53" s="188">
        <f>I53+J53</f>
        <v>17817.7</v>
      </c>
      <c r="L53" s="172">
        <f>86661+1213.2+I53</f>
        <v>105691.9</v>
      </c>
      <c r="M53" s="172">
        <f>G53+J53</f>
        <v>0</v>
      </c>
      <c r="N53" s="273">
        <f>86661+1213.2+K53</f>
        <v>105691.9</v>
      </c>
      <c r="O53" s="178">
        <f t="shared" si="2"/>
        <v>105691.9</v>
      </c>
      <c r="P53" s="92">
        <f t="shared" si="3"/>
        <v>0</v>
      </c>
    </row>
    <row r="54" spans="1:18" ht="18.75" x14ac:dyDescent="0.2">
      <c r="A54" s="42"/>
      <c r="B54" s="168" t="s">
        <v>41</v>
      </c>
      <c r="C54" s="169" t="s">
        <v>73</v>
      </c>
      <c r="D54" s="170" t="s">
        <v>42</v>
      </c>
      <c r="E54" s="171"/>
      <c r="F54" s="172">
        <v>23.1</v>
      </c>
      <c r="G54" s="172"/>
      <c r="H54" s="172">
        <v>23.1</v>
      </c>
      <c r="I54" s="188">
        <v>0</v>
      </c>
      <c r="J54" s="189"/>
      <c r="K54" s="188">
        <v>0</v>
      </c>
      <c r="L54" s="172">
        <f>SUM(F54)</f>
        <v>23.1</v>
      </c>
      <c r="M54" s="172">
        <f>SUM(G54)</f>
        <v>0</v>
      </c>
      <c r="N54" s="273">
        <f>SUM(H54)</f>
        <v>23.1</v>
      </c>
      <c r="O54" s="178">
        <f t="shared" si="2"/>
        <v>23.1</v>
      </c>
      <c r="P54" s="92">
        <f t="shared" si="3"/>
        <v>0</v>
      </c>
    </row>
    <row r="55" spans="1:18" ht="31.5" x14ac:dyDescent="0.2">
      <c r="A55" s="42"/>
      <c r="B55" s="168" t="s">
        <v>211</v>
      </c>
      <c r="C55" s="169" t="s">
        <v>495</v>
      </c>
      <c r="D55" s="170"/>
      <c r="E55" s="171"/>
      <c r="F55" s="172">
        <f>F56</f>
        <v>581.20000000000005</v>
      </c>
      <c r="G55" s="172">
        <f t="shared" ref="G55:N55" si="10">G56</f>
        <v>-184</v>
      </c>
      <c r="H55" s="172">
        <f t="shared" si="10"/>
        <v>397.20000000000005</v>
      </c>
      <c r="I55" s="172">
        <f t="shared" si="10"/>
        <v>0</v>
      </c>
      <c r="J55" s="172">
        <f t="shared" si="10"/>
        <v>0</v>
      </c>
      <c r="K55" s="172">
        <f t="shared" si="10"/>
        <v>0</v>
      </c>
      <c r="L55" s="172">
        <f t="shared" si="10"/>
        <v>581.20000000000005</v>
      </c>
      <c r="M55" s="172">
        <f t="shared" si="10"/>
        <v>-184</v>
      </c>
      <c r="N55" s="273">
        <f t="shared" si="10"/>
        <v>397.20000000000005</v>
      </c>
      <c r="O55" s="178">
        <f t="shared" si="2"/>
        <v>397.20000000000005</v>
      </c>
      <c r="P55" s="92">
        <f t="shared" si="3"/>
        <v>0</v>
      </c>
    </row>
    <row r="56" spans="1:18" ht="31.5" x14ac:dyDescent="0.2">
      <c r="A56" s="42"/>
      <c r="B56" s="168" t="s">
        <v>74</v>
      </c>
      <c r="C56" s="169" t="s">
        <v>495</v>
      </c>
      <c r="D56" s="170" t="s">
        <v>75</v>
      </c>
      <c r="E56" s="171"/>
      <c r="F56" s="172">
        <v>581.20000000000005</v>
      </c>
      <c r="G56" s="172">
        <v>-184</v>
      </c>
      <c r="H56" s="172">
        <f>F56+G56</f>
        <v>397.20000000000005</v>
      </c>
      <c r="I56" s="188"/>
      <c r="J56" s="189"/>
      <c r="K56" s="188"/>
      <c r="L56" s="172">
        <f>SUM(F56)</f>
        <v>581.20000000000005</v>
      </c>
      <c r="M56" s="172">
        <f>SUM(G56)</f>
        <v>-184</v>
      </c>
      <c r="N56" s="273">
        <f>L56+M56</f>
        <v>397.20000000000005</v>
      </c>
      <c r="O56" s="178">
        <f t="shared" si="2"/>
        <v>397.20000000000005</v>
      </c>
      <c r="P56" s="92">
        <f t="shared" si="3"/>
        <v>0</v>
      </c>
    </row>
    <row r="57" spans="1:18" ht="42.75" customHeight="1" x14ac:dyDescent="0.2">
      <c r="A57" s="42"/>
      <c r="B57" s="197" t="s">
        <v>76</v>
      </c>
      <c r="C57" s="169" t="s">
        <v>77</v>
      </c>
      <c r="D57" s="170"/>
      <c r="E57" s="171"/>
      <c r="F57" s="172">
        <f>SUM(F58)</f>
        <v>2648.7</v>
      </c>
      <c r="G57" s="172">
        <f>SUM(G58)</f>
        <v>0</v>
      </c>
      <c r="H57" s="172">
        <f>SUM(F57)+G57</f>
        <v>2648.7</v>
      </c>
      <c r="I57" s="188">
        <f>SUM(I58)</f>
        <v>0</v>
      </c>
      <c r="J57" s="189">
        <f>SUM(J58)</f>
        <v>0</v>
      </c>
      <c r="K57" s="188">
        <f>SUM(K58)</f>
        <v>0</v>
      </c>
      <c r="L57" s="172">
        <f>SUM(L58)</f>
        <v>2648.7</v>
      </c>
      <c r="M57" s="172">
        <f>SUM(J57)+G57</f>
        <v>0</v>
      </c>
      <c r="N57" s="273">
        <f>SUM(N58)</f>
        <v>2648.7</v>
      </c>
      <c r="O57" s="178">
        <f t="shared" si="2"/>
        <v>2648.7</v>
      </c>
      <c r="P57" s="92">
        <f t="shared" si="3"/>
        <v>0</v>
      </c>
    </row>
    <row r="58" spans="1:18" ht="31.5" x14ac:dyDescent="0.2">
      <c r="A58" s="42"/>
      <c r="B58" s="168" t="s">
        <v>74</v>
      </c>
      <c r="C58" s="169" t="s">
        <v>77</v>
      </c>
      <c r="D58" s="170" t="s">
        <v>75</v>
      </c>
      <c r="E58" s="171"/>
      <c r="F58" s="172">
        <v>2648.7</v>
      </c>
      <c r="G58" s="172"/>
      <c r="H58" s="172">
        <f>SUM(F58)+G58</f>
        <v>2648.7</v>
      </c>
      <c r="I58" s="188">
        <v>0</v>
      </c>
      <c r="J58" s="189"/>
      <c r="K58" s="188">
        <f>SUM(I58)+J58</f>
        <v>0</v>
      </c>
      <c r="L58" s="172">
        <f>SUM(F58+I58)</f>
        <v>2648.7</v>
      </c>
      <c r="M58" s="172">
        <f>SUM(J58)+G58</f>
        <v>0</v>
      </c>
      <c r="N58" s="273">
        <f>SUM(K58)+H58</f>
        <v>2648.7</v>
      </c>
      <c r="O58" s="178">
        <f t="shared" si="2"/>
        <v>2648.7</v>
      </c>
      <c r="P58" s="92">
        <f t="shared" si="3"/>
        <v>0</v>
      </c>
    </row>
    <row r="59" spans="1:18" ht="36" customHeight="1" x14ac:dyDescent="0.2">
      <c r="A59" s="42"/>
      <c r="B59" s="168" t="s">
        <v>78</v>
      </c>
      <c r="C59" s="169" t="s">
        <v>79</v>
      </c>
      <c r="D59" s="170" t="s">
        <v>26</v>
      </c>
      <c r="E59" s="171"/>
      <c r="F59" s="172">
        <f t="shared" ref="F59:N59" si="11">F60</f>
        <v>2801.4</v>
      </c>
      <c r="G59" s="172">
        <f t="shared" si="11"/>
        <v>593.70000000000005</v>
      </c>
      <c r="H59" s="172">
        <f t="shared" si="11"/>
        <v>3395.1000000000004</v>
      </c>
      <c r="I59" s="188">
        <f t="shared" si="11"/>
        <v>0</v>
      </c>
      <c r="J59" s="189">
        <f t="shared" si="11"/>
        <v>0</v>
      </c>
      <c r="K59" s="188">
        <f t="shared" si="11"/>
        <v>0</v>
      </c>
      <c r="L59" s="172">
        <f t="shared" si="11"/>
        <v>2801.4</v>
      </c>
      <c r="M59" s="172">
        <f t="shared" si="11"/>
        <v>593.70000000000005</v>
      </c>
      <c r="N59" s="273">
        <f t="shared" si="11"/>
        <v>3395.1000000000004</v>
      </c>
      <c r="O59" s="178">
        <f t="shared" si="2"/>
        <v>3395.1000000000004</v>
      </c>
      <c r="P59" s="92">
        <f t="shared" si="3"/>
        <v>0</v>
      </c>
    </row>
    <row r="60" spans="1:18" ht="31.5" x14ac:dyDescent="0.2">
      <c r="A60" s="42"/>
      <c r="B60" s="168" t="s">
        <v>74</v>
      </c>
      <c r="C60" s="169" t="s">
        <v>79</v>
      </c>
      <c r="D60" s="170" t="s">
        <v>75</v>
      </c>
      <c r="E60" s="171"/>
      <c r="F60" s="172">
        <v>2801.4</v>
      </c>
      <c r="G60" s="172">
        <f>409.7+184</f>
        <v>593.70000000000005</v>
      </c>
      <c r="H60" s="172">
        <f>SUM(F60)+G60</f>
        <v>3395.1000000000004</v>
      </c>
      <c r="I60" s="188">
        <v>0</v>
      </c>
      <c r="J60" s="189"/>
      <c r="K60" s="188">
        <f>SUM(I60:J60)</f>
        <v>0</v>
      </c>
      <c r="L60" s="172">
        <f>SUM(F60)</f>
        <v>2801.4</v>
      </c>
      <c r="M60" s="254">
        <f>G60+J60</f>
        <v>593.70000000000005</v>
      </c>
      <c r="N60" s="273">
        <f>SUM(L60)+M60</f>
        <v>3395.1000000000004</v>
      </c>
      <c r="O60" s="178">
        <f t="shared" si="2"/>
        <v>3395.1000000000004</v>
      </c>
      <c r="P60" s="92">
        <f t="shared" si="3"/>
        <v>0</v>
      </c>
    </row>
    <row r="61" spans="1:18" ht="63" x14ac:dyDescent="0.2">
      <c r="A61" s="42"/>
      <c r="B61" s="168" t="s">
        <v>484</v>
      </c>
      <c r="C61" s="169" t="s">
        <v>483</v>
      </c>
      <c r="D61" s="170" t="s">
        <v>26</v>
      </c>
      <c r="E61" s="171"/>
      <c r="F61" s="172"/>
      <c r="G61" s="172"/>
      <c r="H61" s="172"/>
      <c r="I61" s="188">
        <v>500</v>
      </c>
      <c r="J61" s="189">
        <f>J62</f>
        <v>0</v>
      </c>
      <c r="K61" s="189">
        <f>K62</f>
        <v>500</v>
      </c>
      <c r="L61" s="172">
        <f>F61+I61</f>
        <v>500</v>
      </c>
      <c r="M61" s="172">
        <f>G61+J61</f>
        <v>0</v>
      </c>
      <c r="N61" s="172">
        <f>N62</f>
        <v>500</v>
      </c>
      <c r="O61" s="178">
        <f t="shared" si="2"/>
        <v>500</v>
      </c>
      <c r="P61" s="92">
        <f t="shared" si="3"/>
        <v>0</v>
      </c>
    </row>
    <row r="62" spans="1:18" ht="31.5" x14ac:dyDescent="0.2">
      <c r="A62" s="42"/>
      <c r="B62" s="168" t="s">
        <v>74</v>
      </c>
      <c r="C62" s="169" t="s">
        <v>483</v>
      </c>
      <c r="D62" s="170" t="s">
        <v>75</v>
      </c>
      <c r="E62" s="171"/>
      <c r="F62" s="172"/>
      <c r="G62" s="172"/>
      <c r="H62" s="172"/>
      <c r="I62" s="188">
        <v>500</v>
      </c>
      <c r="J62" s="189"/>
      <c r="K62" s="188">
        <f>SUM(I62:J62)</f>
        <v>500</v>
      </c>
      <c r="L62" s="172">
        <f>F62+I62</f>
        <v>500</v>
      </c>
      <c r="M62" s="172">
        <f>G62+J62</f>
        <v>0</v>
      </c>
      <c r="N62" s="273">
        <f>SUM(L62:M62)</f>
        <v>500</v>
      </c>
      <c r="O62" s="178">
        <f t="shared" si="2"/>
        <v>500</v>
      </c>
      <c r="P62" s="92">
        <f t="shared" si="3"/>
        <v>0</v>
      </c>
    </row>
    <row r="63" spans="1:18" ht="33" customHeight="1" x14ac:dyDescent="0.2">
      <c r="A63" s="42"/>
      <c r="B63" s="168" t="s">
        <v>80</v>
      </c>
      <c r="C63" s="169" t="s">
        <v>81</v>
      </c>
      <c r="D63" s="170" t="s">
        <v>26</v>
      </c>
      <c r="E63" s="171"/>
      <c r="F63" s="172">
        <f>F64</f>
        <v>626.1</v>
      </c>
      <c r="G63" s="172">
        <f>G64</f>
        <v>0</v>
      </c>
      <c r="H63" s="172">
        <f>H64</f>
        <v>626.1</v>
      </c>
      <c r="I63" s="188">
        <f>I64</f>
        <v>3846.2</v>
      </c>
      <c r="J63" s="189"/>
      <c r="K63" s="188">
        <f>K64</f>
        <v>3846.2</v>
      </c>
      <c r="L63" s="254">
        <f>L64</f>
        <v>4472.3</v>
      </c>
      <c r="M63" s="172">
        <f>M64</f>
        <v>0</v>
      </c>
      <c r="N63" s="172">
        <f>N64</f>
        <v>4472.3</v>
      </c>
      <c r="O63" s="178">
        <f t="shared" si="2"/>
        <v>4472.3</v>
      </c>
      <c r="P63" s="92">
        <f t="shared" si="3"/>
        <v>0</v>
      </c>
    </row>
    <row r="64" spans="1:18" ht="31.5" x14ac:dyDescent="0.2">
      <c r="A64" s="42"/>
      <c r="B64" s="168" t="s">
        <v>74</v>
      </c>
      <c r="C64" s="169" t="s">
        <v>81</v>
      </c>
      <c r="D64" s="170" t="s">
        <v>75</v>
      </c>
      <c r="E64" s="171"/>
      <c r="F64" s="172">
        <v>626.1</v>
      </c>
      <c r="G64" s="172"/>
      <c r="H64" s="172">
        <v>626.1</v>
      </c>
      <c r="I64" s="188">
        <v>3846.2</v>
      </c>
      <c r="J64" s="189"/>
      <c r="K64" s="188">
        <v>3846.2</v>
      </c>
      <c r="L64" s="254">
        <f>F64+I64</f>
        <v>4472.3</v>
      </c>
      <c r="M64" s="172">
        <f>SUM(G64)</f>
        <v>0</v>
      </c>
      <c r="N64" s="172">
        <f>H64+K64</f>
        <v>4472.3</v>
      </c>
      <c r="O64" s="178">
        <f t="shared" si="2"/>
        <v>4472.3</v>
      </c>
      <c r="P64" s="92">
        <f t="shared" si="3"/>
        <v>0</v>
      </c>
    </row>
    <row r="65" spans="1:16" ht="18.75" x14ac:dyDescent="0.2">
      <c r="A65" s="42"/>
      <c r="B65" s="168" t="s">
        <v>82</v>
      </c>
      <c r="C65" s="169" t="s">
        <v>83</v>
      </c>
      <c r="D65" s="170"/>
      <c r="E65" s="171"/>
      <c r="F65" s="172">
        <v>254.4</v>
      </c>
      <c r="G65" s="172"/>
      <c r="H65" s="172">
        <v>254.4</v>
      </c>
      <c r="I65" s="188">
        <v>1562.5</v>
      </c>
      <c r="J65" s="189"/>
      <c r="K65" s="188">
        <v>1562.5</v>
      </c>
      <c r="L65" s="172">
        <f>254.4+I65</f>
        <v>1816.9</v>
      </c>
      <c r="M65" s="172"/>
      <c r="N65" s="273">
        <f>254.4+K65</f>
        <v>1816.9</v>
      </c>
      <c r="O65" s="178">
        <f t="shared" si="2"/>
        <v>1816.9</v>
      </c>
      <c r="P65" s="92">
        <f t="shared" si="3"/>
        <v>0</v>
      </c>
    </row>
    <row r="66" spans="1:16" ht="21" customHeight="1" x14ac:dyDescent="0.2">
      <c r="A66" s="42"/>
      <c r="B66" s="168" t="s">
        <v>84</v>
      </c>
      <c r="C66" s="169" t="s">
        <v>85</v>
      </c>
      <c r="D66" s="170"/>
      <c r="E66" s="171"/>
      <c r="F66" s="172">
        <v>254.4</v>
      </c>
      <c r="G66" s="172"/>
      <c r="H66" s="172">
        <v>254.4</v>
      </c>
      <c r="I66" s="188">
        <v>1562.5</v>
      </c>
      <c r="J66" s="189"/>
      <c r="K66" s="188">
        <v>1562.5</v>
      </c>
      <c r="L66" s="172">
        <f>254.4+I66</f>
        <v>1816.9</v>
      </c>
      <c r="M66" s="172"/>
      <c r="N66" s="273">
        <f>254.4+K66</f>
        <v>1816.9</v>
      </c>
      <c r="O66" s="178">
        <f t="shared" si="2"/>
        <v>1816.9</v>
      </c>
      <c r="P66" s="92">
        <f t="shared" si="3"/>
        <v>0</v>
      </c>
    </row>
    <row r="67" spans="1:16" ht="31.5" x14ac:dyDescent="0.2">
      <c r="A67" s="42"/>
      <c r="B67" s="168" t="s">
        <v>74</v>
      </c>
      <c r="C67" s="169" t="s">
        <v>83</v>
      </c>
      <c r="D67" s="170" t="s">
        <v>75</v>
      </c>
      <c r="E67" s="171"/>
      <c r="F67" s="172">
        <v>254.4</v>
      </c>
      <c r="G67" s="172"/>
      <c r="H67" s="172">
        <v>254.4</v>
      </c>
      <c r="I67" s="188">
        <v>1562.5</v>
      </c>
      <c r="J67" s="189"/>
      <c r="K67" s="188">
        <v>1562.5</v>
      </c>
      <c r="L67" s="172">
        <f>254.4+I67</f>
        <v>1816.9</v>
      </c>
      <c r="M67" s="172"/>
      <c r="N67" s="273">
        <f>254.4+K67</f>
        <v>1816.9</v>
      </c>
      <c r="O67" s="178">
        <f t="shared" si="2"/>
        <v>1816.9</v>
      </c>
      <c r="P67" s="92">
        <f t="shared" si="3"/>
        <v>0</v>
      </c>
    </row>
    <row r="68" spans="1:16" ht="36" customHeight="1" x14ac:dyDescent="0.2">
      <c r="A68" s="42"/>
      <c r="B68" s="168" t="s">
        <v>86</v>
      </c>
      <c r="C68" s="169" t="s">
        <v>87</v>
      </c>
      <c r="D68" s="170" t="s">
        <v>26</v>
      </c>
      <c r="E68" s="171"/>
      <c r="F68" s="172">
        <f>F69</f>
        <v>11262.1</v>
      </c>
      <c r="G68" s="172">
        <f>G69</f>
        <v>0</v>
      </c>
      <c r="H68" s="172">
        <f>H69</f>
        <v>11262.1</v>
      </c>
      <c r="I68" s="188">
        <f>I69</f>
        <v>0</v>
      </c>
      <c r="J68" s="189"/>
      <c r="K68" s="188">
        <f>K69</f>
        <v>0</v>
      </c>
      <c r="L68" s="172">
        <f>L69</f>
        <v>11262.1</v>
      </c>
      <c r="M68" s="172">
        <f>M69</f>
        <v>0</v>
      </c>
      <c r="N68" s="273">
        <f>N69</f>
        <v>11262.1</v>
      </c>
      <c r="O68" s="178">
        <f t="shared" si="2"/>
        <v>11262.1</v>
      </c>
      <c r="P68" s="92">
        <f t="shared" si="3"/>
        <v>0</v>
      </c>
    </row>
    <row r="69" spans="1:16" ht="31.5" x14ac:dyDescent="0.2">
      <c r="A69" s="42"/>
      <c r="B69" s="168" t="s">
        <v>39</v>
      </c>
      <c r="C69" s="169" t="s">
        <v>88</v>
      </c>
      <c r="D69" s="170" t="s">
        <v>26</v>
      </c>
      <c r="E69" s="171"/>
      <c r="F69" s="172">
        <f>F70+F71+F72</f>
        <v>11262.1</v>
      </c>
      <c r="G69" s="172">
        <f>G70+G71+G72</f>
        <v>0</v>
      </c>
      <c r="H69" s="172">
        <f>H70+H71+H72</f>
        <v>11262.1</v>
      </c>
      <c r="I69" s="188">
        <f>I70+I71+I72</f>
        <v>0</v>
      </c>
      <c r="J69" s="189"/>
      <c r="K69" s="188">
        <f>K70+K71+K72</f>
        <v>0</v>
      </c>
      <c r="L69" s="172">
        <f>L70+L71+L72</f>
        <v>11262.1</v>
      </c>
      <c r="M69" s="172">
        <f>M70+M71+M72</f>
        <v>0</v>
      </c>
      <c r="N69" s="273">
        <f>N70+N71+N72</f>
        <v>11262.1</v>
      </c>
      <c r="O69" s="178">
        <f t="shared" si="2"/>
        <v>11262.1</v>
      </c>
      <c r="P69" s="92">
        <f t="shared" si="3"/>
        <v>0</v>
      </c>
    </row>
    <row r="70" spans="1:16" ht="70.150000000000006" customHeight="1" x14ac:dyDescent="0.2">
      <c r="A70" s="42"/>
      <c r="B70" s="168" t="s">
        <v>31</v>
      </c>
      <c r="C70" s="169" t="s">
        <v>88</v>
      </c>
      <c r="D70" s="170" t="s">
        <v>32</v>
      </c>
      <c r="E70" s="171"/>
      <c r="F70" s="172">
        <v>9834.1</v>
      </c>
      <c r="G70" s="172"/>
      <c r="H70" s="172">
        <f>SUM(F70)+G70</f>
        <v>9834.1</v>
      </c>
      <c r="I70" s="188">
        <v>0</v>
      </c>
      <c r="J70" s="189"/>
      <c r="K70" s="188">
        <v>0</v>
      </c>
      <c r="L70" s="172">
        <f t="shared" ref="L70:N71" si="12">SUM(F70)</f>
        <v>9834.1</v>
      </c>
      <c r="M70" s="172">
        <f t="shared" si="12"/>
        <v>0</v>
      </c>
      <c r="N70" s="172">
        <f t="shared" si="12"/>
        <v>9834.1</v>
      </c>
      <c r="O70" s="178">
        <f t="shared" si="2"/>
        <v>9834.1</v>
      </c>
      <c r="P70" s="92">
        <f t="shared" si="3"/>
        <v>0</v>
      </c>
    </row>
    <row r="71" spans="1:16" ht="31.5" x14ac:dyDescent="0.2">
      <c r="A71" s="42"/>
      <c r="B71" s="168" t="s">
        <v>35</v>
      </c>
      <c r="C71" s="169" t="s">
        <v>88</v>
      </c>
      <c r="D71" s="170" t="s">
        <v>36</v>
      </c>
      <c r="E71" s="171"/>
      <c r="F71" s="172">
        <v>1426.9</v>
      </c>
      <c r="G71" s="172"/>
      <c r="H71" s="172">
        <f>SUM(F71)</f>
        <v>1426.9</v>
      </c>
      <c r="I71" s="188">
        <v>0</v>
      </c>
      <c r="J71" s="189"/>
      <c r="K71" s="188">
        <v>0</v>
      </c>
      <c r="L71" s="172">
        <f t="shared" si="12"/>
        <v>1426.9</v>
      </c>
      <c r="M71" s="172">
        <f t="shared" si="12"/>
        <v>0</v>
      </c>
      <c r="N71" s="172">
        <f t="shared" si="12"/>
        <v>1426.9</v>
      </c>
      <c r="O71" s="178">
        <f t="shared" si="2"/>
        <v>1426.9</v>
      </c>
      <c r="P71" s="92">
        <f t="shared" si="3"/>
        <v>0</v>
      </c>
    </row>
    <row r="72" spans="1:16" ht="18.75" x14ac:dyDescent="0.2">
      <c r="A72" s="42"/>
      <c r="B72" s="168" t="s">
        <v>41</v>
      </c>
      <c r="C72" s="169" t="s">
        <v>88</v>
      </c>
      <c r="D72" s="170" t="s">
        <v>42</v>
      </c>
      <c r="E72" s="171"/>
      <c r="F72" s="172">
        <v>1.1000000000000001</v>
      </c>
      <c r="G72" s="172"/>
      <c r="H72" s="172">
        <v>1.1000000000000001</v>
      </c>
      <c r="I72" s="188">
        <v>0</v>
      </c>
      <c r="J72" s="189"/>
      <c r="K72" s="188">
        <v>0</v>
      </c>
      <c r="L72" s="172">
        <v>1.1000000000000001</v>
      </c>
      <c r="M72" s="172"/>
      <c r="N72" s="172">
        <v>1.1000000000000001</v>
      </c>
      <c r="O72" s="178">
        <f t="shared" si="2"/>
        <v>1.1000000000000001</v>
      </c>
      <c r="P72" s="92">
        <f t="shared" si="3"/>
        <v>0</v>
      </c>
    </row>
    <row r="73" spans="1:16" ht="31.5" x14ac:dyDescent="0.2">
      <c r="A73" s="49"/>
      <c r="B73" s="190" t="s">
        <v>89</v>
      </c>
      <c r="C73" s="191" t="s">
        <v>90</v>
      </c>
      <c r="D73" s="192" t="s">
        <v>26</v>
      </c>
      <c r="E73" s="193"/>
      <c r="F73" s="194">
        <f t="shared" ref="F73:N74" si="13">F74</f>
        <v>2090.6</v>
      </c>
      <c r="G73" s="194">
        <f t="shared" si="13"/>
        <v>1047.4000000000001</v>
      </c>
      <c r="H73" s="194">
        <f t="shared" si="13"/>
        <v>3138</v>
      </c>
      <c r="I73" s="195">
        <f t="shared" si="13"/>
        <v>0</v>
      </c>
      <c r="J73" s="194">
        <f t="shared" si="13"/>
        <v>0</v>
      </c>
      <c r="K73" s="195">
        <f t="shared" si="13"/>
        <v>0</v>
      </c>
      <c r="L73" s="194">
        <f t="shared" si="13"/>
        <v>2090.6</v>
      </c>
      <c r="M73" s="194">
        <f t="shared" si="13"/>
        <v>1047.4000000000001</v>
      </c>
      <c r="N73" s="272">
        <f t="shared" si="13"/>
        <v>3138</v>
      </c>
      <c r="O73" s="178">
        <f t="shared" si="2"/>
        <v>3138</v>
      </c>
      <c r="P73" s="92">
        <f t="shared" si="3"/>
        <v>0</v>
      </c>
    </row>
    <row r="74" spans="1:16" ht="31.5" x14ac:dyDescent="0.2">
      <c r="A74" s="42"/>
      <c r="B74" s="168" t="s">
        <v>91</v>
      </c>
      <c r="C74" s="169" t="s">
        <v>92</v>
      </c>
      <c r="D74" s="170" t="s">
        <v>26</v>
      </c>
      <c r="E74" s="171"/>
      <c r="F74" s="172">
        <f t="shared" si="13"/>
        <v>2090.6</v>
      </c>
      <c r="G74" s="172">
        <f>G75+G81</f>
        <v>1047.4000000000001</v>
      </c>
      <c r="H74" s="172">
        <f>H75+G74</f>
        <v>3138</v>
      </c>
      <c r="I74" s="188">
        <f t="shared" si="13"/>
        <v>0</v>
      </c>
      <c r="J74" s="189"/>
      <c r="K74" s="188">
        <f t="shared" si="13"/>
        <v>0</v>
      </c>
      <c r="L74" s="172">
        <f t="shared" si="13"/>
        <v>2090.6</v>
      </c>
      <c r="M74" s="172">
        <f>M75+G74</f>
        <v>1047.4000000000001</v>
      </c>
      <c r="N74" s="172">
        <f>N75+M74</f>
        <v>3138</v>
      </c>
      <c r="O74" s="178">
        <f t="shared" si="2"/>
        <v>3138</v>
      </c>
      <c r="P74" s="92">
        <f t="shared" si="3"/>
        <v>0</v>
      </c>
    </row>
    <row r="75" spans="1:16" ht="31.5" x14ac:dyDescent="0.2">
      <c r="A75" s="42"/>
      <c r="B75" s="168" t="s">
        <v>93</v>
      </c>
      <c r="C75" s="169" t="s">
        <v>94</v>
      </c>
      <c r="D75" s="170" t="s">
        <v>26</v>
      </c>
      <c r="E75" s="171"/>
      <c r="F75" s="172">
        <f>F76+F79+F80</f>
        <v>2090.6</v>
      </c>
      <c r="G75" s="172">
        <f>G76+G79+G80</f>
        <v>0</v>
      </c>
      <c r="H75" s="172">
        <f>H76+H79+H80</f>
        <v>2090.6</v>
      </c>
      <c r="I75" s="188">
        <f>I76+I79</f>
        <v>0</v>
      </c>
      <c r="J75" s="189"/>
      <c r="K75" s="188">
        <f>K76+K79</f>
        <v>0</v>
      </c>
      <c r="L75" s="172">
        <f>L76+L79+L80</f>
        <v>2090.6</v>
      </c>
      <c r="M75" s="172">
        <f>M76+M79+M80</f>
        <v>0</v>
      </c>
      <c r="N75" s="172">
        <f>N76+N79+N80</f>
        <v>2090.6</v>
      </c>
      <c r="O75" s="178">
        <f t="shared" si="2"/>
        <v>2090.6</v>
      </c>
      <c r="P75" s="92">
        <f t="shared" si="3"/>
        <v>0</v>
      </c>
    </row>
    <row r="76" spans="1:16" ht="64.5" customHeight="1" x14ac:dyDescent="0.2">
      <c r="A76" s="42"/>
      <c r="B76" s="168" t="s">
        <v>31</v>
      </c>
      <c r="C76" s="169" t="s">
        <v>94</v>
      </c>
      <c r="D76" s="170" t="s">
        <v>32</v>
      </c>
      <c r="E76" s="171"/>
      <c r="F76" s="172">
        <v>2080.1</v>
      </c>
      <c r="G76" s="172"/>
      <c r="H76" s="172">
        <f>SUM(F76)+G76</f>
        <v>2080.1</v>
      </c>
      <c r="I76" s="188">
        <v>0</v>
      </c>
      <c r="J76" s="189"/>
      <c r="K76" s="188">
        <v>0</v>
      </c>
      <c r="L76" s="172">
        <f t="shared" ref="L76:N80" si="14">SUM(F76)</f>
        <v>2080.1</v>
      </c>
      <c r="M76" s="172">
        <f t="shared" si="14"/>
        <v>0</v>
      </c>
      <c r="N76" s="172">
        <f t="shared" si="14"/>
        <v>2080.1</v>
      </c>
      <c r="O76" s="178">
        <f t="shared" si="2"/>
        <v>2080.1</v>
      </c>
      <c r="P76" s="92">
        <f t="shared" si="3"/>
        <v>0</v>
      </c>
    </row>
    <row r="77" spans="1:16" ht="66" hidden="1" customHeight="1" x14ac:dyDescent="0.2">
      <c r="A77" s="42"/>
      <c r="B77" s="168" t="s">
        <v>502</v>
      </c>
      <c r="C77" s="169" t="s">
        <v>505</v>
      </c>
      <c r="D77" s="170"/>
      <c r="E77" s="171"/>
      <c r="F77" s="172"/>
      <c r="G77" s="172"/>
      <c r="H77" s="172"/>
      <c r="I77" s="188"/>
      <c r="J77" s="189"/>
      <c r="K77" s="188"/>
      <c r="L77" s="172"/>
      <c r="M77" s="172"/>
      <c r="N77" s="172"/>
      <c r="O77" s="178"/>
      <c r="P77" s="92"/>
    </row>
    <row r="78" spans="1:16" ht="66" hidden="1" customHeight="1" x14ac:dyDescent="0.2">
      <c r="A78" s="42"/>
      <c r="B78" s="168" t="s">
        <v>31</v>
      </c>
      <c r="C78" s="169" t="s">
        <v>505</v>
      </c>
      <c r="D78" s="170" t="s">
        <v>32</v>
      </c>
      <c r="E78" s="171"/>
      <c r="F78" s="172"/>
      <c r="G78" s="172"/>
      <c r="H78" s="172"/>
      <c r="I78" s="188"/>
      <c r="J78" s="189"/>
      <c r="K78" s="188"/>
      <c r="L78" s="172"/>
      <c r="M78" s="172"/>
      <c r="N78" s="172"/>
      <c r="O78" s="178"/>
      <c r="P78" s="92"/>
    </row>
    <row r="79" spans="1:16" ht="31.5" x14ac:dyDescent="0.2">
      <c r="A79" s="42"/>
      <c r="B79" s="168" t="s">
        <v>35</v>
      </c>
      <c r="C79" s="169" t="s">
        <v>94</v>
      </c>
      <c r="D79" s="170" t="s">
        <v>36</v>
      </c>
      <c r="E79" s="171"/>
      <c r="F79" s="172">
        <v>9.5</v>
      </c>
      <c r="G79" s="172"/>
      <c r="H79" s="172">
        <f>SUM(F79)</f>
        <v>9.5</v>
      </c>
      <c r="I79" s="188">
        <v>0</v>
      </c>
      <c r="J79" s="189"/>
      <c r="K79" s="188">
        <v>0</v>
      </c>
      <c r="L79" s="172">
        <f t="shared" si="14"/>
        <v>9.5</v>
      </c>
      <c r="M79" s="172">
        <f t="shared" si="14"/>
        <v>0</v>
      </c>
      <c r="N79" s="172">
        <f t="shared" si="14"/>
        <v>9.5</v>
      </c>
      <c r="O79" s="178">
        <f t="shared" si="2"/>
        <v>9.5</v>
      </c>
      <c r="P79" s="92">
        <f t="shared" si="3"/>
        <v>0</v>
      </c>
    </row>
    <row r="80" spans="1:16" ht="18.75" x14ac:dyDescent="0.2">
      <c r="A80" s="42"/>
      <c r="B80" s="168" t="s">
        <v>41</v>
      </c>
      <c r="C80" s="169" t="s">
        <v>94</v>
      </c>
      <c r="D80" s="170" t="s">
        <v>42</v>
      </c>
      <c r="E80" s="171"/>
      <c r="F80" s="172">
        <v>1</v>
      </c>
      <c r="G80" s="172"/>
      <c r="H80" s="172">
        <f>SUM(F80)+G80</f>
        <v>1</v>
      </c>
      <c r="I80" s="188"/>
      <c r="J80" s="189"/>
      <c r="K80" s="188"/>
      <c r="L80" s="172">
        <f t="shared" si="14"/>
        <v>1</v>
      </c>
      <c r="M80" s="172">
        <f t="shared" si="14"/>
        <v>0</v>
      </c>
      <c r="N80" s="172">
        <f t="shared" si="14"/>
        <v>1</v>
      </c>
      <c r="O80" s="178">
        <f t="shared" si="2"/>
        <v>1</v>
      </c>
      <c r="P80" s="92">
        <f t="shared" si="3"/>
        <v>0</v>
      </c>
    </row>
    <row r="81" spans="1:17" ht="78.75" x14ac:dyDescent="0.2">
      <c r="A81" s="42"/>
      <c r="B81" s="168" t="s">
        <v>502</v>
      </c>
      <c r="C81" s="169" t="s">
        <v>505</v>
      </c>
      <c r="D81" s="170"/>
      <c r="E81" s="171"/>
      <c r="F81" s="172"/>
      <c r="G81" s="172">
        <v>1047.4000000000001</v>
      </c>
      <c r="H81" s="172">
        <v>1047.4000000000001</v>
      </c>
      <c r="I81" s="188"/>
      <c r="J81" s="189"/>
      <c r="K81" s="188"/>
      <c r="L81" s="172"/>
      <c r="M81" s="172">
        <f>SUM(G81)</f>
        <v>1047.4000000000001</v>
      </c>
      <c r="N81" s="172">
        <f>SUM(H81)</f>
        <v>1047.4000000000001</v>
      </c>
      <c r="O81" s="178"/>
      <c r="P81" s="92"/>
    </row>
    <row r="82" spans="1:17" ht="63" x14ac:dyDescent="0.2">
      <c r="A82" s="42"/>
      <c r="B82" s="168" t="s">
        <v>31</v>
      </c>
      <c r="C82" s="169" t="s">
        <v>505</v>
      </c>
      <c r="D82" s="170" t="s">
        <v>32</v>
      </c>
      <c r="E82" s="171"/>
      <c r="F82" s="172"/>
      <c r="G82" s="172">
        <v>1047.4000000000001</v>
      </c>
      <c r="H82" s="172">
        <f>SUM(G82)</f>
        <v>1047.4000000000001</v>
      </c>
      <c r="I82" s="188"/>
      <c r="J82" s="189"/>
      <c r="K82" s="188"/>
      <c r="L82" s="172"/>
      <c r="M82" s="172">
        <f>SUM(G82)</f>
        <v>1047.4000000000001</v>
      </c>
      <c r="N82" s="172">
        <f>SUM(H82)</f>
        <v>1047.4000000000001</v>
      </c>
      <c r="O82" s="178"/>
      <c r="P82" s="92"/>
    </row>
    <row r="83" spans="1:17" ht="31.5" x14ac:dyDescent="0.2">
      <c r="A83" s="19" t="s">
        <v>95</v>
      </c>
      <c r="B83" s="182" t="s">
        <v>96</v>
      </c>
      <c r="C83" s="183" t="s">
        <v>97</v>
      </c>
      <c r="D83" s="184" t="s">
        <v>26</v>
      </c>
      <c r="E83" s="185"/>
      <c r="F83" s="186">
        <f t="shared" ref="F83:N83" si="15">F84+F91</f>
        <v>68748.7</v>
      </c>
      <c r="G83" s="186">
        <f t="shared" si="15"/>
        <v>-12463</v>
      </c>
      <c r="H83" s="186">
        <f t="shared" si="15"/>
        <v>56285.7</v>
      </c>
      <c r="I83" s="187">
        <f t="shared" si="15"/>
        <v>0</v>
      </c>
      <c r="J83" s="186">
        <f t="shared" si="15"/>
        <v>0</v>
      </c>
      <c r="K83" s="187">
        <f t="shared" si="15"/>
        <v>0</v>
      </c>
      <c r="L83" s="186">
        <f t="shared" si="15"/>
        <v>68748.7</v>
      </c>
      <c r="M83" s="271">
        <f t="shared" si="15"/>
        <v>-12463</v>
      </c>
      <c r="N83" s="186">
        <f t="shared" si="15"/>
        <v>56285.7</v>
      </c>
      <c r="O83" s="178">
        <f t="shared" si="2"/>
        <v>56285.7</v>
      </c>
      <c r="P83" s="92">
        <f t="shared" si="3"/>
        <v>0</v>
      </c>
    </row>
    <row r="84" spans="1:17" ht="31.5" x14ac:dyDescent="0.2">
      <c r="A84" s="49"/>
      <c r="B84" s="190" t="s">
        <v>98</v>
      </c>
      <c r="C84" s="191" t="s">
        <v>99</v>
      </c>
      <c r="D84" s="192" t="s">
        <v>26</v>
      </c>
      <c r="E84" s="193"/>
      <c r="F84" s="194">
        <f t="shared" ref="F84:N84" si="16">F85+F88</f>
        <v>68218.7</v>
      </c>
      <c r="G84" s="194">
        <f t="shared" si="16"/>
        <v>-12463</v>
      </c>
      <c r="H84" s="194">
        <f t="shared" si="16"/>
        <v>55755.7</v>
      </c>
      <c r="I84" s="195">
        <f t="shared" si="16"/>
        <v>0</v>
      </c>
      <c r="J84" s="194">
        <f t="shared" si="16"/>
        <v>0</v>
      </c>
      <c r="K84" s="195">
        <f t="shared" si="16"/>
        <v>0</v>
      </c>
      <c r="L84" s="194">
        <f t="shared" si="16"/>
        <v>68218.7</v>
      </c>
      <c r="M84" s="194">
        <f t="shared" si="16"/>
        <v>-12463</v>
      </c>
      <c r="N84" s="194">
        <f t="shared" si="16"/>
        <v>55755.7</v>
      </c>
      <c r="O84" s="178">
        <f t="shared" si="2"/>
        <v>55755.7</v>
      </c>
      <c r="P84" s="92">
        <f t="shared" si="3"/>
        <v>0</v>
      </c>
    </row>
    <row r="85" spans="1:17" ht="31.5" x14ac:dyDescent="0.2">
      <c r="A85" s="42"/>
      <c r="B85" s="168" t="s">
        <v>100</v>
      </c>
      <c r="C85" s="169" t="s">
        <v>101</v>
      </c>
      <c r="D85" s="170" t="s">
        <v>26</v>
      </c>
      <c r="E85" s="171"/>
      <c r="F85" s="172">
        <f t="shared" ref="F85:N86" si="17">F86</f>
        <v>63946</v>
      </c>
      <c r="G85" s="172">
        <f t="shared" si="17"/>
        <v>-12463</v>
      </c>
      <c r="H85" s="172">
        <f t="shared" si="17"/>
        <v>51483</v>
      </c>
      <c r="I85" s="188">
        <f t="shared" si="17"/>
        <v>0</v>
      </c>
      <c r="J85" s="189"/>
      <c r="K85" s="188">
        <f t="shared" si="17"/>
        <v>0</v>
      </c>
      <c r="L85" s="172">
        <f t="shared" si="17"/>
        <v>63946</v>
      </c>
      <c r="M85" s="172">
        <f t="shared" si="17"/>
        <v>-12463</v>
      </c>
      <c r="N85" s="172">
        <f t="shared" si="17"/>
        <v>51483</v>
      </c>
      <c r="O85" s="178">
        <f t="shared" ref="O85:O148" si="18">L85+M85</f>
        <v>51483</v>
      </c>
      <c r="P85" s="92">
        <f t="shared" ref="P85:P148" si="19">O85-N85</f>
        <v>0</v>
      </c>
    </row>
    <row r="86" spans="1:17" ht="18.75" x14ac:dyDescent="0.2">
      <c r="A86" s="42"/>
      <c r="B86" s="168" t="s">
        <v>102</v>
      </c>
      <c r="C86" s="169" t="s">
        <v>103</v>
      </c>
      <c r="D86" s="170" t="s">
        <v>26</v>
      </c>
      <c r="E86" s="171"/>
      <c r="F86" s="172">
        <f t="shared" si="17"/>
        <v>63946</v>
      </c>
      <c r="G86" s="172">
        <f t="shared" si="17"/>
        <v>-12463</v>
      </c>
      <c r="H86" s="172">
        <f t="shared" si="17"/>
        <v>51483</v>
      </c>
      <c r="I86" s="188">
        <f t="shared" si="17"/>
        <v>0</v>
      </c>
      <c r="J86" s="189"/>
      <c r="K86" s="188">
        <f t="shared" si="17"/>
        <v>0</v>
      </c>
      <c r="L86" s="172">
        <f t="shared" si="17"/>
        <v>63946</v>
      </c>
      <c r="M86" s="172">
        <f t="shared" si="17"/>
        <v>-12463</v>
      </c>
      <c r="N86" s="172">
        <f t="shared" si="17"/>
        <v>51483</v>
      </c>
      <c r="O86" s="178">
        <f t="shared" si="18"/>
        <v>51483</v>
      </c>
      <c r="P86" s="92">
        <f t="shared" si="19"/>
        <v>0</v>
      </c>
    </row>
    <row r="87" spans="1:17" ht="18.75" x14ac:dyDescent="0.2">
      <c r="A87" s="42"/>
      <c r="B87" s="168" t="s">
        <v>54</v>
      </c>
      <c r="C87" s="169" t="s">
        <v>103</v>
      </c>
      <c r="D87" s="170" t="s">
        <v>55</v>
      </c>
      <c r="E87" s="171"/>
      <c r="F87" s="172">
        <v>63946</v>
      </c>
      <c r="G87" s="172">
        <f>-10000-2182.9-280.1</f>
        <v>-12463</v>
      </c>
      <c r="H87" s="172">
        <f>SUM(F87)+G87</f>
        <v>51483</v>
      </c>
      <c r="I87" s="188">
        <v>0</v>
      </c>
      <c r="J87" s="189"/>
      <c r="K87" s="188">
        <v>0</v>
      </c>
      <c r="L87" s="172">
        <f>SUM(F87)</f>
        <v>63946</v>
      </c>
      <c r="M87" s="172">
        <f>SUM(G87)</f>
        <v>-12463</v>
      </c>
      <c r="N87" s="172">
        <f>SUM(H87)</f>
        <v>51483</v>
      </c>
      <c r="O87" s="178">
        <f t="shared" si="18"/>
        <v>51483</v>
      </c>
      <c r="P87" s="92">
        <f t="shared" si="19"/>
        <v>0</v>
      </c>
    </row>
    <row r="88" spans="1:17" ht="36" customHeight="1" x14ac:dyDescent="0.2">
      <c r="A88" s="42"/>
      <c r="B88" s="168" t="s">
        <v>104</v>
      </c>
      <c r="C88" s="169" t="s">
        <v>105</v>
      </c>
      <c r="D88" s="170" t="s">
        <v>26</v>
      </c>
      <c r="E88" s="171"/>
      <c r="F88" s="172">
        <f t="shared" ref="F88:N89" si="20">F89</f>
        <v>4272.7</v>
      </c>
      <c r="G88" s="172">
        <f t="shared" si="20"/>
        <v>0</v>
      </c>
      <c r="H88" s="172">
        <f t="shared" si="20"/>
        <v>4272.7</v>
      </c>
      <c r="I88" s="188">
        <f t="shared" si="20"/>
        <v>0</v>
      </c>
      <c r="J88" s="189"/>
      <c r="K88" s="188">
        <f t="shared" si="20"/>
        <v>0</v>
      </c>
      <c r="L88" s="172">
        <f t="shared" si="20"/>
        <v>4272.7</v>
      </c>
      <c r="M88" s="172">
        <f t="shared" si="20"/>
        <v>0</v>
      </c>
      <c r="N88" s="172">
        <f t="shared" si="20"/>
        <v>4272.7</v>
      </c>
      <c r="O88" s="178">
        <f t="shared" si="18"/>
        <v>4272.7</v>
      </c>
      <c r="P88" s="92">
        <f t="shared" si="19"/>
        <v>0</v>
      </c>
    </row>
    <row r="89" spans="1:17" ht="31.5" x14ac:dyDescent="0.2">
      <c r="A89" s="42"/>
      <c r="B89" s="168" t="s">
        <v>106</v>
      </c>
      <c r="C89" s="169" t="s">
        <v>107</v>
      </c>
      <c r="D89" s="170" t="s">
        <v>26</v>
      </c>
      <c r="E89" s="171"/>
      <c r="F89" s="172">
        <f t="shared" si="20"/>
        <v>4272.7</v>
      </c>
      <c r="G89" s="172">
        <f t="shared" si="20"/>
        <v>0</v>
      </c>
      <c r="H89" s="172">
        <f t="shared" si="20"/>
        <v>4272.7</v>
      </c>
      <c r="I89" s="188">
        <f t="shared" si="20"/>
        <v>0</v>
      </c>
      <c r="J89" s="189"/>
      <c r="K89" s="188">
        <f t="shared" si="20"/>
        <v>0</v>
      </c>
      <c r="L89" s="172">
        <f t="shared" si="20"/>
        <v>4272.7</v>
      </c>
      <c r="M89" s="172">
        <f t="shared" si="20"/>
        <v>0</v>
      </c>
      <c r="N89" s="172">
        <f t="shared" si="20"/>
        <v>4272.7</v>
      </c>
      <c r="O89" s="178">
        <f t="shared" si="18"/>
        <v>4272.7</v>
      </c>
      <c r="P89" s="92">
        <f t="shared" si="19"/>
        <v>0</v>
      </c>
    </row>
    <row r="90" spans="1:17" ht="18.75" x14ac:dyDescent="0.2">
      <c r="A90" s="42"/>
      <c r="B90" s="168" t="s">
        <v>54</v>
      </c>
      <c r="C90" s="169" t="s">
        <v>107</v>
      </c>
      <c r="D90" s="170" t="s">
        <v>55</v>
      </c>
      <c r="E90" s="171"/>
      <c r="F90" s="172">
        <v>4272.7</v>
      </c>
      <c r="G90" s="172"/>
      <c r="H90" s="172">
        <f>F90+G90</f>
        <v>4272.7</v>
      </c>
      <c r="I90" s="188">
        <v>0</v>
      </c>
      <c r="J90" s="189"/>
      <c r="K90" s="188">
        <v>0</v>
      </c>
      <c r="L90" s="172">
        <f>SUM(F90)</f>
        <v>4272.7</v>
      </c>
      <c r="M90" s="172">
        <f>G90+J90</f>
        <v>0</v>
      </c>
      <c r="N90" s="172">
        <f>SUM(L90:M90)</f>
        <v>4272.7</v>
      </c>
      <c r="O90" s="178">
        <f t="shared" si="18"/>
        <v>4272.7</v>
      </c>
      <c r="P90" s="92">
        <f t="shared" si="19"/>
        <v>0</v>
      </c>
    </row>
    <row r="91" spans="1:17" ht="37.9" customHeight="1" x14ac:dyDescent="0.2">
      <c r="A91" s="49"/>
      <c r="B91" s="190" t="s">
        <v>108</v>
      </c>
      <c r="C91" s="191" t="s">
        <v>109</v>
      </c>
      <c r="D91" s="192" t="s">
        <v>26</v>
      </c>
      <c r="E91" s="193"/>
      <c r="F91" s="194">
        <f t="shared" ref="F91:N93" si="21">F92</f>
        <v>530</v>
      </c>
      <c r="G91" s="194">
        <f t="shared" si="21"/>
        <v>0</v>
      </c>
      <c r="H91" s="194">
        <f t="shared" si="21"/>
        <v>530</v>
      </c>
      <c r="I91" s="195">
        <f t="shared" si="21"/>
        <v>0</v>
      </c>
      <c r="J91" s="194">
        <f>J92</f>
        <v>0</v>
      </c>
      <c r="K91" s="195">
        <f t="shared" si="21"/>
        <v>0</v>
      </c>
      <c r="L91" s="194">
        <f t="shared" si="21"/>
        <v>530</v>
      </c>
      <c r="M91" s="272">
        <f t="shared" si="21"/>
        <v>0</v>
      </c>
      <c r="N91" s="272">
        <f t="shared" si="21"/>
        <v>530</v>
      </c>
      <c r="O91" s="178">
        <f t="shared" si="18"/>
        <v>530</v>
      </c>
      <c r="P91" s="92">
        <f t="shared" si="19"/>
        <v>0</v>
      </c>
    </row>
    <row r="92" spans="1:17" ht="64.150000000000006" customHeight="1" x14ac:dyDescent="0.2">
      <c r="A92" s="42"/>
      <c r="B92" s="168" t="s">
        <v>110</v>
      </c>
      <c r="C92" s="169" t="s">
        <v>111</v>
      </c>
      <c r="D92" s="170" t="s">
        <v>26</v>
      </c>
      <c r="E92" s="171"/>
      <c r="F92" s="172">
        <f t="shared" si="21"/>
        <v>530</v>
      </c>
      <c r="G92" s="172">
        <f t="shared" si="21"/>
        <v>0</v>
      </c>
      <c r="H92" s="172">
        <f t="shared" si="21"/>
        <v>530</v>
      </c>
      <c r="I92" s="188">
        <f t="shared" si="21"/>
        <v>0</v>
      </c>
      <c r="J92" s="189"/>
      <c r="K92" s="188">
        <f t="shared" si="21"/>
        <v>0</v>
      </c>
      <c r="L92" s="172">
        <f t="shared" si="21"/>
        <v>530</v>
      </c>
      <c r="M92" s="172">
        <f t="shared" si="21"/>
        <v>0</v>
      </c>
      <c r="N92" s="172">
        <f t="shared" si="21"/>
        <v>530</v>
      </c>
      <c r="O92" s="178">
        <f t="shared" si="18"/>
        <v>530</v>
      </c>
      <c r="P92" s="92">
        <f t="shared" si="19"/>
        <v>0</v>
      </c>
    </row>
    <row r="93" spans="1:17" ht="36.6" customHeight="1" x14ac:dyDescent="0.2">
      <c r="A93" s="42"/>
      <c r="B93" s="168" t="s">
        <v>112</v>
      </c>
      <c r="C93" s="169" t="s">
        <v>113</v>
      </c>
      <c r="D93" s="170" t="s">
        <v>26</v>
      </c>
      <c r="E93" s="171"/>
      <c r="F93" s="172">
        <f t="shared" si="21"/>
        <v>530</v>
      </c>
      <c r="G93" s="172">
        <f t="shared" si="21"/>
        <v>0</v>
      </c>
      <c r="H93" s="172">
        <f t="shared" si="21"/>
        <v>530</v>
      </c>
      <c r="I93" s="188">
        <f t="shared" si="21"/>
        <v>0</v>
      </c>
      <c r="J93" s="189"/>
      <c r="K93" s="188">
        <f t="shared" si="21"/>
        <v>0</v>
      </c>
      <c r="L93" s="172">
        <f t="shared" si="21"/>
        <v>530</v>
      </c>
      <c r="M93" s="172">
        <f t="shared" si="21"/>
        <v>0</v>
      </c>
      <c r="N93" s="172">
        <f t="shared" si="21"/>
        <v>530</v>
      </c>
      <c r="O93" s="178">
        <f t="shared" si="18"/>
        <v>530</v>
      </c>
      <c r="P93" s="92">
        <f t="shared" si="19"/>
        <v>0</v>
      </c>
    </row>
    <row r="94" spans="1:17" ht="31.5" x14ac:dyDescent="0.2">
      <c r="A94" s="42"/>
      <c r="B94" s="168" t="s">
        <v>74</v>
      </c>
      <c r="C94" s="169" t="s">
        <v>113</v>
      </c>
      <c r="D94" s="170" t="s">
        <v>75</v>
      </c>
      <c r="E94" s="171"/>
      <c r="F94" s="172">
        <v>530</v>
      </c>
      <c r="G94" s="172"/>
      <c r="H94" s="172">
        <f>F94+G94</f>
        <v>530</v>
      </c>
      <c r="I94" s="188">
        <v>0</v>
      </c>
      <c r="J94" s="189"/>
      <c r="K94" s="188">
        <v>0</v>
      </c>
      <c r="L94" s="172">
        <v>530</v>
      </c>
      <c r="M94" s="172">
        <f>G94+J94</f>
        <v>0</v>
      </c>
      <c r="N94" s="172">
        <f>H94+K94</f>
        <v>530</v>
      </c>
      <c r="O94" s="178">
        <f t="shared" si="18"/>
        <v>530</v>
      </c>
      <c r="P94" s="92">
        <f t="shared" si="19"/>
        <v>0</v>
      </c>
    </row>
    <row r="95" spans="1:17" ht="47.25" x14ac:dyDescent="0.2">
      <c r="A95" s="19" t="s">
        <v>114</v>
      </c>
      <c r="B95" s="182" t="s">
        <v>115</v>
      </c>
      <c r="C95" s="183" t="s">
        <v>116</v>
      </c>
      <c r="D95" s="184" t="s">
        <v>26</v>
      </c>
      <c r="E95" s="185"/>
      <c r="F95" s="186">
        <f t="shared" ref="F95:K95" si="22">F96+F106+F118</f>
        <v>37961.800000000003</v>
      </c>
      <c r="G95" s="186">
        <f>G96+G106+G118</f>
        <v>0</v>
      </c>
      <c r="H95" s="186">
        <f t="shared" si="22"/>
        <v>37961.800000000003</v>
      </c>
      <c r="I95" s="187">
        <f t="shared" si="22"/>
        <v>67252.899999999994</v>
      </c>
      <c r="J95" s="271">
        <f>J96+J106+J118</f>
        <v>0</v>
      </c>
      <c r="K95" s="187">
        <f t="shared" si="22"/>
        <v>67252.899999999994</v>
      </c>
      <c r="L95" s="186">
        <f>SUM(L96+L106+L118)+L135</f>
        <v>105214.70000000001</v>
      </c>
      <c r="M95" s="186">
        <f>M96+M106+M118+M135</f>
        <v>0</v>
      </c>
      <c r="N95" s="186">
        <f>SUM(N96+N106+N118)+N135</f>
        <v>105214.7</v>
      </c>
      <c r="O95" s="178">
        <f t="shared" si="18"/>
        <v>105214.70000000001</v>
      </c>
      <c r="P95" s="92">
        <f t="shared" si="19"/>
        <v>0</v>
      </c>
      <c r="Q95" s="25"/>
    </row>
    <row r="96" spans="1:17" ht="33.6" customHeight="1" x14ac:dyDescent="0.2">
      <c r="A96" s="49"/>
      <c r="B96" s="190" t="s">
        <v>117</v>
      </c>
      <c r="C96" s="191" t="s">
        <v>118</v>
      </c>
      <c r="D96" s="192" t="s">
        <v>26</v>
      </c>
      <c r="E96" s="193"/>
      <c r="F96" s="194">
        <f t="shared" ref="F96:N96" si="23">F97</f>
        <v>1449.1000000000001</v>
      </c>
      <c r="G96" s="194">
        <f t="shared" si="23"/>
        <v>0</v>
      </c>
      <c r="H96" s="194">
        <f t="shared" si="23"/>
        <v>1449.1000000000001</v>
      </c>
      <c r="I96" s="195">
        <f t="shared" si="23"/>
        <v>13560.400000000001</v>
      </c>
      <c r="J96" s="194">
        <f t="shared" si="23"/>
        <v>0</v>
      </c>
      <c r="K96" s="195">
        <f t="shared" si="23"/>
        <v>13560.400000000001</v>
      </c>
      <c r="L96" s="194">
        <f t="shared" si="23"/>
        <v>15009.5</v>
      </c>
      <c r="M96" s="194">
        <f t="shared" si="23"/>
        <v>0</v>
      </c>
      <c r="N96" s="194">
        <f t="shared" si="23"/>
        <v>15009.5</v>
      </c>
      <c r="O96" s="178">
        <f t="shared" si="18"/>
        <v>15009.5</v>
      </c>
      <c r="P96" s="92">
        <f t="shared" si="19"/>
        <v>0</v>
      </c>
    </row>
    <row r="97" spans="1:16" ht="47.25" x14ac:dyDescent="0.2">
      <c r="A97" s="42"/>
      <c r="B97" s="168" t="s">
        <v>119</v>
      </c>
      <c r="C97" s="169" t="s">
        <v>120</v>
      </c>
      <c r="D97" s="170" t="s">
        <v>26</v>
      </c>
      <c r="E97" s="171"/>
      <c r="F97" s="172">
        <f>F104+F98+F100+F102</f>
        <v>1449.1000000000001</v>
      </c>
      <c r="G97" s="172">
        <f>G104+G98+G100+G102</f>
        <v>0</v>
      </c>
      <c r="H97" s="172">
        <f>H104+H98+H100+H102</f>
        <v>1449.1000000000001</v>
      </c>
      <c r="I97" s="188">
        <f>I104+I100+I102</f>
        <v>13560.400000000001</v>
      </c>
      <c r="J97" s="172">
        <f>J104+J98+J100</f>
        <v>0</v>
      </c>
      <c r="K97" s="188">
        <f>K104+K100+K102</f>
        <v>13560.400000000001</v>
      </c>
      <c r="L97" s="172">
        <f>L104+L98+L100+L102</f>
        <v>15009.5</v>
      </c>
      <c r="M97" s="172">
        <f>M104+M98+M100+M102</f>
        <v>0</v>
      </c>
      <c r="N97" s="172">
        <f>N104+N98+N100+N102</f>
        <v>15009.5</v>
      </c>
      <c r="O97" s="178">
        <f t="shared" si="18"/>
        <v>15009.5</v>
      </c>
      <c r="P97" s="92">
        <f t="shared" si="19"/>
        <v>0</v>
      </c>
    </row>
    <row r="98" spans="1:16" ht="31.5" x14ac:dyDescent="0.2">
      <c r="A98" s="42"/>
      <c r="B98" s="198" t="s">
        <v>121</v>
      </c>
      <c r="C98" s="169" t="s">
        <v>122</v>
      </c>
      <c r="D98" s="170"/>
      <c r="E98" s="171"/>
      <c r="F98" s="172">
        <v>735.3</v>
      </c>
      <c r="G98" s="172"/>
      <c r="H98" s="172">
        <f>SUM(F98)</f>
        <v>735.3</v>
      </c>
      <c r="I98" s="188"/>
      <c r="J98" s="189"/>
      <c r="K98" s="188"/>
      <c r="L98" s="172">
        <f t="shared" ref="L98:N99" si="24">SUM(F98)</f>
        <v>735.3</v>
      </c>
      <c r="M98" s="172">
        <f t="shared" si="24"/>
        <v>0</v>
      </c>
      <c r="N98" s="172">
        <f t="shared" si="24"/>
        <v>735.3</v>
      </c>
      <c r="O98" s="178">
        <f t="shared" si="18"/>
        <v>735.3</v>
      </c>
      <c r="P98" s="92">
        <f t="shared" si="19"/>
        <v>0</v>
      </c>
    </row>
    <row r="99" spans="1:16" ht="31.5" x14ac:dyDescent="0.2">
      <c r="A99" s="42"/>
      <c r="B99" s="168" t="s">
        <v>35</v>
      </c>
      <c r="C99" s="169" t="s">
        <v>122</v>
      </c>
      <c r="D99" s="170" t="s">
        <v>36</v>
      </c>
      <c r="E99" s="171"/>
      <c r="F99" s="172">
        <v>735.3</v>
      </c>
      <c r="G99" s="172"/>
      <c r="H99" s="172">
        <f>SUM(F99)</f>
        <v>735.3</v>
      </c>
      <c r="I99" s="188"/>
      <c r="J99" s="189"/>
      <c r="K99" s="188"/>
      <c r="L99" s="172">
        <f t="shared" si="24"/>
        <v>735.3</v>
      </c>
      <c r="M99" s="172">
        <f t="shared" si="24"/>
        <v>0</v>
      </c>
      <c r="N99" s="172">
        <f t="shared" si="24"/>
        <v>735.3</v>
      </c>
      <c r="O99" s="178">
        <f t="shared" si="18"/>
        <v>735.3</v>
      </c>
      <c r="P99" s="92">
        <f t="shared" si="19"/>
        <v>0</v>
      </c>
    </row>
    <row r="100" spans="1:16" ht="63" hidden="1" x14ac:dyDescent="0.2">
      <c r="A100" s="42"/>
      <c r="B100" s="197" t="s">
        <v>450</v>
      </c>
      <c r="C100" s="169" t="s">
        <v>449</v>
      </c>
      <c r="D100" s="170"/>
      <c r="E100" s="171"/>
      <c r="F100" s="172">
        <f>SUM(F101)</f>
        <v>0</v>
      </c>
      <c r="G100" s="172"/>
      <c r="H100" s="172">
        <f>SUM(F100+G100)</f>
        <v>0</v>
      </c>
      <c r="I100" s="188">
        <f>SUM(I101)</f>
        <v>0</v>
      </c>
      <c r="J100" s="189"/>
      <c r="K100" s="188">
        <f>SUM(K101)</f>
        <v>0</v>
      </c>
      <c r="L100" s="172">
        <f>SUM(F100+I100)</f>
        <v>0</v>
      </c>
      <c r="M100" s="172">
        <f t="shared" ref="M100:N103" si="25">SUM(G100)+J100</f>
        <v>0</v>
      </c>
      <c r="N100" s="172">
        <f t="shared" si="25"/>
        <v>0</v>
      </c>
      <c r="O100" s="178">
        <f t="shared" si="18"/>
        <v>0</v>
      </c>
      <c r="P100" s="92">
        <f t="shared" si="19"/>
        <v>0</v>
      </c>
    </row>
    <row r="101" spans="1:16" ht="31.5" hidden="1" x14ac:dyDescent="0.2">
      <c r="A101" s="42"/>
      <c r="B101" s="168" t="s">
        <v>35</v>
      </c>
      <c r="C101" s="169" t="s">
        <v>449</v>
      </c>
      <c r="D101" s="170" t="s">
        <v>36</v>
      </c>
      <c r="E101" s="171"/>
      <c r="F101" s="172">
        <v>0</v>
      </c>
      <c r="G101" s="172"/>
      <c r="H101" s="172">
        <f>SUM(F101+G101)</f>
        <v>0</v>
      </c>
      <c r="I101" s="188">
        <v>0</v>
      </c>
      <c r="J101" s="189"/>
      <c r="K101" s="188">
        <v>0</v>
      </c>
      <c r="L101" s="172">
        <f>SUM(F101+I101)</f>
        <v>0</v>
      </c>
      <c r="M101" s="172">
        <f t="shared" si="25"/>
        <v>0</v>
      </c>
      <c r="N101" s="172">
        <f t="shared" si="25"/>
        <v>0</v>
      </c>
      <c r="O101" s="178">
        <f t="shared" si="18"/>
        <v>0</v>
      </c>
      <c r="P101" s="92">
        <f t="shared" si="19"/>
        <v>0</v>
      </c>
    </row>
    <row r="102" spans="1:16" ht="63" x14ac:dyDescent="0.2">
      <c r="A102" s="42"/>
      <c r="B102" s="197" t="s">
        <v>450</v>
      </c>
      <c r="C102" s="199" t="s">
        <v>459</v>
      </c>
      <c r="D102" s="170"/>
      <c r="E102" s="171"/>
      <c r="F102" s="172">
        <f>SUM(F103)</f>
        <v>294.2</v>
      </c>
      <c r="G102" s="172"/>
      <c r="H102" s="172">
        <f>SUM(H103)</f>
        <v>294.2</v>
      </c>
      <c r="I102" s="188">
        <v>5589.3</v>
      </c>
      <c r="J102" s="189"/>
      <c r="K102" s="189">
        <v>5589.3</v>
      </c>
      <c r="L102" s="172">
        <f>SUM(F102+I102)</f>
        <v>5883.5</v>
      </c>
      <c r="M102" s="172">
        <f t="shared" si="25"/>
        <v>0</v>
      </c>
      <c r="N102" s="172">
        <f>SUM(H102+K102)</f>
        <v>5883.5</v>
      </c>
      <c r="O102" s="178">
        <f t="shared" si="18"/>
        <v>5883.5</v>
      </c>
      <c r="P102" s="92">
        <f t="shared" si="19"/>
        <v>0</v>
      </c>
    </row>
    <row r="103" spans="1:16" ht="31.5" x14ac:dyDescent="0.2">
      <c r="A103" s="42"/>
      <c r="B103" s="168" t="s">
        <v>35</v>
      </c>
      <c r="C103" s="199" t="s">
        <v>459</v>
      </c>
      <c r="D103" s="170" t="s">
        <v>36</v>
      </c>
      <c r="E103" s="171"/>
      <c r="F103" s="172">
        <v>294.2</v>
      </c>
      <c r="G103" s="172"/>
      <c r="H103" s="172">
        <v>294.2</v>
      </c>
      <c r="I103" s="188">
        <v>5589.3</v>
      </c>
      <c r="J103" s="189"/>
      <c r="K103" s="189">
        <v>5589.3</v>
      </c>
      <c r="L103" s="172">
        <f>SUM(F103+I103)</f>
        <v>5883.5</v>
      </c>
      <c r="M103" s="172">
        <f t="shared" si="25"/>
        <v>0</v>
      </c>
      <c r="N103" s="172">
        <f t="shared" si="25"/>
        <v>5883.5</v>
      </c>
      <c r="O103" s="178">
        <f t="shared" si="18"/>
        <v>5883.5</v>
      </c>
      <c r="P103" s="92">
        <f t="shared" si="19"/>
        <v>0</v>
      </c>
    </row>
    <row r="104" spans="1:16" ht="36.6" customHeight="1" x14ac:dyDescent="0.2">
      <c r="A104" s="42"/>
      <c r="B104" s="168" t="s">
        <v>123</v>
      </c>
      <c r="C104" s="169" t="s">
        <v>124</v>
      </c>
      <c r="D104" s="170" t="s">
        <v>26</v>
      </c>
      <c r="E104" s="171"/>
      <c r="F104" s="172">
        <f t="shared" ref="F104:N104" si="26">F105</f>
        <v>419.6</v>
      </c>
      <c r="G104" s="172">
        <f t="shared" si="26"/>
        <v>0</v>
      </c>
      <c r="H104" s="172">
        <f t="shared" si="26"/>
        <v>419.6</v>
      </c>
      <c r="I104" s="188">
        <f t="shared" si="26"/>
        <v>7971.1</v>
      </c>
      <c r="J104" s="188">
        <f t="shared" si="26"/>
        <v>0</v>
      </c>
      <c r="K104" s="188">
        <f t="shared" si="26"/>
        <v>7971.1</v>
      </c>
      <c r="L104" s="172">
        <f t="shared" si="26"/>
        <v>8390.7000000000007</v>
      </c>
      <c r="M104" s="172">
        <f t="shared" si="26"/>
        <v>0</v>
      </c>
      <c r="N104" s="172">
        <f t="shared" si="26"/>
        <v>8390.7000000000007</v>
      </c>
      <c r="O104" s="178">
        <f t="shared" si="18"/>
        <v>8390.7000000000007</v>
      </c>
      <c r="P104" s="92">
        <f t="shared" si="19"/>
        <v>0</v>
      </c>
    </row>
    <row r="105" spans="1:16" ht="31.5" x14ac:dyDescent="0.2">
      <c r="A105" s="42"/>
      <c r="B105" s="168" t="s">
        <v>35</v>
      </c>
      <c r="C105" s="169" t="s">
        <v>124</v>
      </c>
      <c r="D105" s="170" t="s">
        <v>36</v>
      </c>
      <c r="E105" s="171"/>
      <c r="F105" s="172">
        <v>419.6</v>
      </c>
      <c r="G105" s="172"/>
      <c r="H105" s="172">
        <f>419.6+G105</f>
        <v>419.6</v>
      </c>
      <c r="I105" s="188">
        <v>7971.1</v>
      </c>
      <c r="J105" s="189"/>
      <c r="K105" s="188">
        <f>7971.1+J105</f>
        <v>7971.1</v>
      </c>
      <c r="L105" s="172">
        <f>419.6+I105</f>
        <v>8390.7000000000007</v>
      </c>
      <c r="M105" s="172">
        <f>SUM(J105)</f>
        <v>0</v>
      </c>
      <c r="N105" s="172">
        <f>419.6+K105</f>
        <v>8390.7000000000007</v>
      </c>
      <c r="O105" s="178">
        <f t="shared" si="18"/>
        <v>8390.7000000000007</v>
      </c>
      <c r="P105" s="92">
        <f t="shared" si="19"/>
        <v>0</v>
      </c>
    </row>
    <row r="106" spans="1:16" ht="35.450000000000003" customHeight="1" x14ac:dyDescent="0.2">
      <c r="A106" s="49"/>
      <c r="B106" s="190" t="s">
        <v>125</v>
      </c>
      <c r="C106" s="191" t="s">
        <v>126</v>
      </c>
      <c r="D106" s="192" t="s">
        <v>26</v>
      </c>
      <c r="E106" s="193"/>
      <c r="F106" s="194">
        <f t="shared" ref="F106:N106" si="27">F107+F115</f>
        <v>18343.599999999999</v>
      </c>
      <c r="G106" s="194">
        <f>G107+G115</f>
        <v>112.6</v>
      </c>
      <c r="H106" s="194">
        <f>H107+H115</f>
        <v>18456.199999999997</v>
      </c>
      <c r="I106" s="195">
        <f t="shared" si="27"/>
        <v>53692.5</v>
      </c>
      <c r="J106" s="194">
        <f t="shared" si="27"/>
        <v>0</v>
      </c>
      <c r="K106" s="195">
        <f t="shared" si="27"/>
        <v>53692.5</v>
      </c>
      <c r="L106" s="194">
        <f t="shared" si="27"/>
        <v>72036.100000000006</v>
      </c>
      <c r="M106" s="194">
        <f t="shared" si="27"/>
        <v>112.6</v>
      </c>
      <c r="N106" s="194">
        <f t="shared" si="27"/>
        <v>72148.7</v>
      </c>
      <c r="O106" s="178">
        <f t="shared" si="18"/>
        <v>72148.700000000012</v>
      </c>
      <c r="P106" s="92">
        <f t="shared" si="19"/>
        <v>0</v>
      </c>
    </row>
    <row r="107" spans="1:16" ht="31.5" x14ac:dyDescent="0.2">
      <c r="A107" s="42"/>
      <c r="B107" s="168" t="s">
        <v>127</v>
      </c>
      <c r="C107" s="169" t="s">
        <v>128</v>
      </c>
      <c r="D107" s="170" t="s">
        <v>26</v>
      </c>
      <c r="E107" s="171"/>
      <c r="F107" s="188">
        <f>F108+F113+F111</f>
        <v>10270.299999999999</v>
      </c>
      <c r="G107" s="188">
        <f t="shared" ref="G107:N107" si="28">G108+G113+G111</f>
        <v>3.8</v>
      </c>
      <c r="H107" s="188">
        <f t="shared" si="28"/>
        <v>10274.099999999999</v>
      </c>
      <c r="I107" s="188">
        <f t="shared" si="28"/>
        <v>53692.5</v>
      </c>
      <c r="J107" s="188">
        <f t="shared" si="28"/>
        <v>0</v>
      </c>
      <c r="K107" s="188">
        <f t="shared" si="28"/>
        <v>53692.5</v>
      </c>
      <c r="L107" s="188">
        <f t="shared" si="28"/>
        <v>63962.8</v>
      </c>
      <c r="M107" s="188">
        <f t="shared" si="28"/>
        <v>3.8</v>
      </c>
      <c r="N107" s="188">
        <f t="shared" si="28"/>
        <v>63966.6</v>
      </c>
      <c r="O107" s="178">
        <f t="shared" si="18"/>
        <v>63966.600000000006</v>
      </c>
      <c r="P107" s="92">
        <f t="shared" si="19"/>
        <v>0</v>
      </c>
    </row>
    <row r="108" spans="1:16" ht="49.15" customHeight="1" x14ac:dyDescent="0.2">
      <c r="A108" s="42"/>
      <c r="B108" s="168" t="s">
        <v>129</v>
      </c>
      <c r="C108" s="169" t="s">
        <v>130</v>
      </c>
      <c r="D108" s="170" t="s">
        <v>26</v>
      </c>
      <c r="E108" s="171"/>
      <c r="F108" s="172">
        <f>F109+F110</f>
        <v>10270.299999999999</v>
      </c>
      <c r="G108" s="172">
        <f>G109+G110</f>
        <v>3.8</v>
      </c>
      <c r="H108" s="172">
        <f>H109+H110</f>
        <v>10274.099999999999</v>
      </c>
      <c r="I108" s="188">
        <f>I109+I110</f>
        <v>27036</v>
      </c>
      <c r="J108" s="189">
        <f>SUM(J109+J110)</f>
        <v>0</v>
      </c>
      <c r="K108" s="188">
        <f>K109+K110</f>
        <v>27036</v>
      </c>
      <c r="L108" s="172">
        <f>L109+L110</f>
        <v>37306.300000000003</v>
      </c>
      <c r="M108" s="172">
        <f>M109+M110</f>
        <v>3.8</v>
      </c>
      <c r="N108" s="172">
        <f>N109+N110</f>
        <v>37310.1</v>
      </c>
      <c r="O108" s="178">
        <f t="shared" si="18"/>
        <v>37310.100000000006</v>
      </c>
      <c r="P108" s="92">
        <f t="shared" si="19"/>
        <v>0</v>
      </c>
    </row>
    <row r="109" spans="1:16" ht="31.5" x14ac:dyDescent="0.2">
      <c r="A109" s="42"/>
      <c r="B109" s="168" t="s">
        <v>35</v>
      </c>
      <c r="C109" s="169" t="s">
        <v>130</v>
      </c>
      <c r="D109" s="170" t="s">
        <v>36</v>
      </c>
      <c r="E109" s="171"/>
      <c r="F109" s="172">
        <v>9790.2999999999993</v>
      </c>
      <c r="G109" s="172">
        <v>3.8</v>
      </c>
      <c r="H109" s="172">
        <f>SUM(F109)+G109</f>
        <v>9794.0999999999985</v>
      </c>
      <c r="I109" s="188">
        <v>10000</v>
      </c>
      <c r="J109" s="189"/>
      <c r="K109" s="189">
        <f>SUM(I109)</f>
        <v>10000</v>
      </c>
      <c r="L109" s="172">
        <f>F109+I109</f>
        <v>19790.3</v>
      </c>
      <c r="M109" s="254">
        <f>G109+J109</f>
        <v>3.8</v>
      </c>
      <c r="N109" s="172">
        <f>H109+K109</f>
        <v>19794.099999999999</v>
      </c>
      <c r="O109" s="178">
        <f t="shared" si="18"/>
        <v>19794.099999999999</v>
      </c>
      <c r="P109" s="92">
        <f t="shared" si="19"/>
        <v>0</v>
      </c>
    </row>
    <row r="110" spans="1:16" ht="31.5" x14ac:dyDescent="0.2">
      <c r="A110" s="42"/>
      <c r="B110" s="168" t="s">
        <v>131</v>
      </c>
      <c r="C110" s="169" t="s">
        <v>130</v>
      </c>
      <c r="D110" s="170" t="s">
        <v>132</v>
      </c>
      <c r="E110" s="171"/>
      <c r="F110" s="172">
        <v>480</v>
      </c>
      <c r="G110" s="172"/>
      <c r="H110" s="172">
        <f>SUM(F110:G110)</f>
        <v>480</v>
      </c>
      <c r="I110" s="188">
        <v>17036</v>
      </c>
      <c r="J110" s="172"/>
      <c r="K110" s="189">
        <f>SUM(I110)</f>
        <v>17036</v>
      </c>
      <c r="L110" s="172">
        <f>SUM(F110+I110)</f>
        <v>17516</v>
      </c>
      <c r="M110" s="172">
        <f>SUM(J110)+G110</f>
        <v>0</v>
      </c>
      <c r="N110" s="172">
        <f>SUM(H110+K110)</f>
        <v>17516</v>
      </c>
      <c r="O110" s="178">
        <f t="shared" si="18"/>
        <v>17516</v>
      </c>
      <c r="P110" s="92">
        <f t="shared" si="19"/>
        <v>0</v>
      </c>
    </row>
    <row r="111" spans="1:16" ht="78.75" x14ac:dyDescent="0.2">
      <c r="A111" s="42"/>
      <c r="B111" s="168" t="s">
        <v>133</v>
      </c>
      <c r="C111" s="169" t="s">
        <v>134</v>
      </c>
      <c r="D111" s="170"/>
      <c r="E111" s="171"/>
      <c r="F111" s="188">
        <f>F112</f>
        <v>0</v>
      </c>
      <c r="G111" s="188">
        <f t="shared" ref="G111:N111" si="29">G112</f>
        <v>0</v>
      </c>
      <c r="H111" s="188">
        <f t="shared" si="29"/>
        <v>0</v>
      </c>
      <c r="I111" s="188">
        <f t="shared" si="29"/>
        <v>26656.5</v>
      </c>
      <c r="J111" s="188">
        <f t="shared" si="29"/>
        <v>0</v>
      </c>
      <c r="K111" s="188">
        <f t="shared" si="29"/>
        <v>26656.5</v>
      </c>
      <c r="L111" s="188">
        <f t="shared" si="29"/>
        <v>26656.5</v>
      </c>
      <c r="M111" s="188">
        <f t="shared" si="29"/>
        <v>0</v>
      </c>
      <c r="N111" s="188">
        <f t="shared" si="29"/>
        <v>26656.5</v>
      </c>
      <c r="O111" s="178">
        <f t="shared" si="18"/>
        <v>26656.5</v>
      </c>
      <c r="P111" s="92">
        <f t="shared" si="19"/>
        <v>0</v>
      </c>
    </row>
    <row r="112" spans="1:16" ht="34.15" customHeight="1" x14ac:dyDescent="0.2">
      <c r="A112" s="42"/>
      <c r="B112" s="168" t="s">
        <v>35</v>
      </c>
      <c r="C112" s="169" t="s">
        <v>134</v>
      </c>
      <c r="D112" s="170" t="s">
        <v>36</v>
      </c>
      <c r="E112" s="171"/>
      <c r="F112" s="172"/>
      <c r="G112" s="172"/>
      <c r="H112" s="172"/>
      <c r="I112" s="188">
        <v>26656.5</v>
      </c>
      <c r="J112" s="189"/>
      <c r="K112" s="189">
        <f>SUM(I112:J112)</f>
        <v>26656.5</v>
      </c>
      <c r="L112" s="172">
        <f>F112+I112</f>
        <v>26656.5</v>
      </c>
      <c r="M112" s="172">
        <f>G112+J112</f>
        <v>0</v>
      </c>
      <c r="N112" s="172">
        <f>H112+K112</f>
        <v>26656.5</v>
      </c>
      <c r="O112" s="178">
        <f t="shared" si="18"/>
        <v>26656.5</v>
      </c>
      <c r="P112" s="92">
        <f t="shared" si="19"/>
        <v>0</v>
      </c>
    </row>
    <row r="113" spans="1:17" ht="63" x14ac:dyDescent="0.2">
      <c r="A113" s="42"/>
      <c r="B113" s="168" t="s">
        <v>135</v>
      </c>
      <c r="C113" s="169" t="s">
        <v>136</v>
      </c>
      <c r="D113" s="170" t="s">
        <v>26</v>
      </c>
      <c r="E113" s="171"/>
      <c r="F113" s="172">
        <f>F114</f>
        <v>0</v>
      </c>
      <c r="G113" s="172">
        <f>G114</f>
        <v>0</v>
      </c>
      <c r="H113" s="172">
        <f>H114</f>
        <v>0</v>
      </c>
      <c r="I113" s="188">
        <f>I114</f>
        <v>0</v>
      </c>
      <c r="J113" s="189"/>
      <c r="K113" s="188">
        <f>K114</f>
        <v>0</v>
      </c>
      <c r="L113" s="172">
        <f>L114</f>
        <v>0</v>
      </c>
      <c r="M113" s="172">
        <f>M114</f>
        <v>0</v>
      </c>
      <c r="N113" s="172">
        <f>N114</f>
        <v>0</v>
      </c>
      <c r="O113" s="178">
        <f t="shared" si="18"/>
        <v>0</v>
      </c>
      <c r="P113" s="92">
        <f t="shared" si="19"/>
        <v>0</v>
      </c>
    </row>
    <row r="114" spans="1:17" ht="31.5" x14ac:dyDescent="0.2">
      <c r="A114" s="42"/>
      <c r="B114" s="168" t="s">
        <v>35</v>
      </c>
      <c r="C114" s="169" t="s">
        <v>136</v>
      </c>
      <c r="D114" s="170" t="s">
        <v>36</v>
      </c>
      <c r="E114" s="171"/>
      <c r="F114" s="172">
        <v>0</v>
      </c>
      <c r="G114" s="172"/>
      <c r="H114" s="172">
        <v>0</v>
      </c>
      <c r="I114" s="188">
        <v>0</v>
      </c>
      <c r="J114" s="189"/>
      <c r="K114" s="188">
        <v>0</v>
      </c>
      <c r="L114" s="172">
        <f>SUM(F114)</f>
        <v>0</v>
      </c>
      <c r="M114" s="172">
        <f>SUM(G114)</f>
        <v>0</v>
      </c>
      <c r="N114" s="172">
        <f>SUM(H114)</f>
        <v>0</v>
      </c>
      <c r="O114" s="178">
        <f t="shared" si="18"/>
        <v>0</v>
      </c>
      <c r="P114" s="92">
        <f t="shared" si="19"/>
        <v>0</v>
      </c>
    </row>
    <row r="115" spans="1:17" ht="31.5" x14ac:dyDescent="0.2">
      <c r="A115" s="42"/>
      <c r="B115" s="168" t="s">
        <v>137</v>
      </c>
      <c r="C115" s="169" t="s">
        <v>138</v>
      </c>
      <c r="D115" s="170" t="s">
        <v>26</v>
      </c>
      <c r="E115" s="171"/>
      <c r="F115" s="172">
        <f t="shared" ref="F115:N116" si="30">F116</f>
        <v>8073.3</v>
      </c>
      <c r="G115" s="172">
        <f t="shared" si="30"/>
        <v>108.8</v>
      </c>
      <c r="H115" s="172">
        <f t="shared" si="30"/>
        <v>8182.1</v>
      </c>
      <c r="I115" s="188">
        <f t="shared" si="30"/>
        <v>0</v>
      </c>
      <c r="J115" s="189"/>
      <c r="K115" s="188">
        <f t="shared" si="30"/>
        <v>0</v>
      </c>
      <c r="L115" s="172">
        <f t="shared" si="30"/>
        <v>8073.3</v>
      </c>
      <c r="M115" s="172">
        <f t="shared" si="30"/>
        <v>108.8</v>
      </c>
      <c r="N115" s="172">
        <f t="shared" si="30"/>
        <v>8182.1</v>
      </c>
      <c r="O115" s="178">
        <f t="shared" si="18"/>
        <v>8182.1</v>
      </c>
      <c r="P115" s="92">
        <f t="shared" si="19"/>
        <v>0</v>
      </c>
    </row>
    <row r="116" spans="1:17" ht="63" x14ac:dyDescent="0.2">
      <c r="A116" s="42"/>
      <c r="B116" s="168" t="s">
        <v>135</v>
      </c>
      <c r="C116" s="169" t="s">
        <v>139</v>
      </c>
      <c r="D116" s="170" t="s">
        <v>26</v>
      </c>
      <c r="E116" s="171"/>
      <c r="F116" s="172">
        <f t="shared" si="30"/>
        <v>8073.3</v>
      </c>
      <c r="G116" s="172">
        <f t="shared" si="30"/>
        <v>108.8</v>
      </c>
      <c r="H116" s="172">
        <f t="shared" si="30"/>
        <v>8182.1</v>
      </c>
      <c r="I116" s="188">
        <f t="shared" si="30"/>
        <v>0</v>
      </c>
      <c r="J116" s="189"/>
      <c r="K116" s="188">
        <f t="shared" si="30"/>
        <v>0</v>
      </c>
      <c r="L116" s="172">
        <f t="shared" si="30"/>
        <v>8073.3</v>
      </c>
      <c r="M116" s="172">
        <f t="shared" si="30"/>
        <v>108.8</v>
      </c>
      <c r="N116" s="172">
        <f t="shared" si="30"/>
        <v>8182.1</v>
      </c>
      <c r="O116" s="178">
        <f t="shared" si="18"/>
        <v>8182.1</v>
      </c>
      <c r="P116" s="92">
        <f t="shared" si="19"/>
        <v>0</v>
      </c>
    </row>
    <row r="117" spans="1:17" ht="31.5" x14ac:dyDescent="0.2">
      <c r="A117" s="42"/>
      <c r="B117" s="168" t="s">
        <v>35</v>
      </c>
      <c r="C117" s="169" t="s">
        <v>139</v>
      </c>
      <c r="D117" s="170" t="s">
        <v>36</v>
      </c>
      <c r="E117" s="171"/>
      <c r="F117" s="172">
        <v>8073.3</v>
      </c>
      <c r="G117" s="172">
        <v>108.8</v>
      </c>
      <c r="H117" s="172">
        <f>F117+G117</f>
        <v>8182.1</v>
      </c>
      <c r="I117" s="188">
        <v>0</v>
      </c>
      <c r="J117" s="189"/>
      <c r="K117" s="188">
        <v>0</v>
      </c>
      <c r="L117" s="172">
        <f>SUM(F117)</f>
        <v>8073.3</v>
      </c>
      <c r="M117" s="172">
        <f>SUM(G117)</f>
        <v>108.8</v>
      </c>
      <c r="N117" s="172">
        <f>SUM(H117)</f>
        <v>8182.1</v>
      </c>
      <c r="O117" s="178">
        <f t="shared" si="18"/>
        <v>8182.1</v>
      </c>
      <c r="P117" s="92">
        <f t="shared" si="19"/>
        <v>0</v>
      </c>
    </row>
    <row r="118" spans="1:17" ht="18.75" x14ac:dyDescent="0.2">
      <c r="A118" s="49"/>
      <c r="B118" s="190" t="s">
        <v>140</v>
      </c>
      <c r="C118" s="191" t="s">
        <v>141</v>
      </c>
      <c r="D118" s="192" t="s">
        <v>26</v>
      </c>
      <c r="E118" s="193"/>
      <c r="F118" s="194">
        <f>F119+F128+F123+F131</f>
        <v>18169.100000000002</v>
      </c>
      <c r="G118" s="172">
        <f>G119+G123+G131</f>
        <v>-112.6</v>
      </c>
      <c r="H118" s="194">
        <f>H119+H128+H123+H131</f>
        <v>18056.500000000004</v>
      </c>
      <c r="I118" s="195">
        <f>I119+I128</f>
        <v>0</v>
      </c>
      <c r="J118" s="194">
        <f>J119+J128</f>
        <v>0</v>
      </c>
      <c r="K118" s="195">
        <f>K119+K128</f>
        <v>0</v>
      </c>
      <c r="L118" s="194">
        <f>L119+L128+L123+L131</f>
        <v>18169.100000000002</v>
      </c>
      <c r="M118" s="194">
        <f>M119+M128+M123+M131+M126</f>
        <v>-112.6</v>
      </c>
      <c r="N118" s="194">
        <f>N119+N128+N123+N131</f>
        <v>18056.500000000004</v>
      </c>
      <c r="O118" s="178">
        <f t="shared" si="18"/>
        <v>18056.500000000004</v>
      </c>
      <c r="P118" s="92">
        <f t="shared" si="19"/>
        <v>0</v>
      </c>
      <c r="Q118" s="55"/>
    </row>
    <row r="119" spans="1:17" ht="47.25" x14ac:dyDescent="0.2">
      <c r="A119" s="42"/>
      <c r="B119" s="168" t="s">
        <v>142</v>
      </c>
      <c r="C119" s="169" t="s">
        <v>143</v>
      </c>
      <c r="D119" s="170" t="s">
        <v>26</v>
      </c>
      <c r="E119" s="171"/>
      <c r="F119" s="172">
        <f>F120</f>
        <v>9290.5</v>
      </c>
      <c r="G119" s="172">
        <f>G120</f>
        <v>0</v>
      </c>
      <c r="H119" s="172">
        <f>H120</f>
        <v>9290.5</v>
      </c>
      <c r="I119" s="188">
        <f>I120</f>
        <v>0</v>
      </c>
      <c r="J119" s="189"/>
      <c r="K119" s="188">
        <f>K120</f>
        <v>0</v>
      </c>
      <c r="L119" s="172">
        <f>L120</f>
        <v>9290.5</v>
      </c>
      <c r="M119" s="172">
        <f>M120</f>
        <v>0</v>
      </c>
      <c r="N119" s="172">
        <f>N120</f>
        <v>9290.5</v>
      </c>
      <c r="O119" s="178">
        <f t="shared" si="18"/>
        <v>9290.5</v>
      </c>
      <c r="P119" s="92">
        <f t="shared" si="19"/>
        <v>0</v>
      </c>
    </row>
    <row r="120" spans="1:17" ht="31.5" x14ac:dyDescent="0.2">
      <c r="A120" s="42"/>
      <c r="B120" s="168" t="s">
        <v>39</v>
      </c>
      <c r="C120" s="169" t="s">
        <v>144</v>
      </c>
      <c r="D120" s="170" t="s">
        <v>26</v>
      </c>
      <c r="E120" s="171"/>
      <c r="F120" s="172">
        <f>F121+F122</f>
        <v>9290.5</v>
      </c>
      <c r="G120" s="172">
        <f>G121+G122</f>
        <v>0</v>
      </c>
      <c r="H120" s="172">
        <f>H121+H122</f>
        <v>9290.5</v>
      </c>
      <c r="I120" s="188">
        <f>I121+I122</f>
        <v>0</v>
      </c>
      <c r="J120" s="189"/>
      <c r="K120" s="188">
        <f>K121+K122</f>
        <v>0</v>
      </c>
      <c r="L120" s="172">
        <f>L121+L122</f>
        <v>9290.5</v>
      </c>
      <c r="M120" s="172">
        <f>M121+M122</f>
        <v>0</v>
      </c>
      <c r="N120" s="172">
        <f>N121+N122</f>
        <v>9290.5</v>
      </c>
      <c r="O120" s="178">
        <f t="shared" si="18"/>
        <v>9290.5</v>
      </c>
      <c r="P120" s="92">
        <f t="shared" si="19"/>
        <v>0</v>
      </c>
    </row>
    <row r="121" spans="1:17" ht="64.900000000000006" customHeight="1" x14ac:dyDescent="0.2">
      <c r="A121" s="42"/>
      <c r="B121" s="168" t="s">
        <v>31</v>
      </c>
      <c r="C121" s="169" t="s">
        <v>144</v>
      </c>
      <c r="D121" s="170" t="s">
        <v>32</v>
      </c>
      <c r="E121" s="171"/>
      <c r="F121" s="172">
        <v>8871.2000000000007</v>
      </c>
      <c r="G121" s="172"/>
      <c r="H121" s="172">
        <f>SUM(F121)</f>
        <v>8871.2000000000007</v>
      </c>
      <c r="I121" s="188">
        <v>0</v>
      </c>
      <c r="J121" s="189"/>
      <c r="K121" s="188">
        <v>0</v>
      </c>
      <c r="L121" s="172">
        <f>SUM(F121)</f>
        <v>8871.2000000000007</v>
      </c>
      <c r="M121" s="172">
        <f>SUM(G121)</f>
        <v>0</v>
      </c>
      <c r="N121" s="172">
        <f>SUM(H121)</f>
        <v>8871.2000000000007</v>
      </c>
      <c r="O121" s="178">
        <f t="shared" si="18"/>
        <v>8871.2000000000007</v>
      </c>
      <c r="P121" s="92">
        <f t="shared" si="19"/>
        <v>0</v>
      </c>
    </row>
    <row r="122" spans="1:17" ht="31.5" x14ac:dyDescent="0.2">
      <c r="A122" s="42"/>
      <c r="B122" s="168" t="s">
        <v>35</v>
      </c>
      <c r="C122" s="169" t="s">
        <v>144</v>
      </c>
      <c r="D122" s="170" t="s">
        <v>36</v>
      </c>
      <c r="E122" s="171"/>
      <c r="F122" s="172">
        <v>419.3</v>
      </c>
      <c r="G122" s="172"/>
      <c r="H122" s="172">
        <f>SUM(F122)+G122</f>
        <v>419.3</v>
      </c>
      <c r="I122" s="188">
        <v>0</v>
      </c>
      <c r="J122" s="189"/>
      <c r="K122" s="188">
        <v>0</v>
      </c>
      <c r="L122" s="172">
        <f t="shared" ref="L122:N126" si="31">SUM(F122)</f>
        <v>419.3</v>
      </c>
      <c r="M122" s="172">
        <f t="shared" si="31"/>
        <v>0</v>
      </c>
      <c r="N122" s="172">
        <f t="shared" si="31"/>
        <v>419.3</v>
      </c>
      <c r="O122" s="178">
        <f t="shared" si="18"/>
        <v>419.3</v>
      </c>
      <c r="P122" s="92">
        <f t="shared" si="19"/>
        <v>0</v>
      </c>
    </row>
    <row r="123" spans="1:17" ht="18.75" x14ac:dyDescent="0.2">
      <c r="A123" s="42"/>
      <c r="B123" s="168" t="s">
        <v>145</v>
      </c>
      <c r="C123" s="169" t="s">
        <v>146</v>
      </c>
      <c r="D123" s="170"/>
      <c r="E123" s="171"/>
      <c r="F123" s="172">
        <f>SUM(F125)</f>
        <v>896.4</v>
      </c>
      <c r="G123" s="172">
        <v>18.5</v>
      </c>
      <c r="H123" s="172">
        <f>SUM(H125)+H127</f>
        <v>914.9</v>
      </c>
      <c r="I123" s="188"/>
      <c r="J123" s="189"/>
      <c r="K123" s="188"/>
      <c r="L123" s="172">
        <f t="shared" si="31"/>
        <v>896.4</v>
      </c>
      <c r="M123" s="172">
        <f t="shared" si="31"/>
        <v>18.5</v>
      </c>
      <c r="N123" s="172">
        <f t="shared" si="31"/>
        <v>914.9</v>
      </c>
      <c r="O123" s="178">
        <f t="shared" si="18"/>
        <v>914.9</v>
      </c>
      <c r="P123" s="92">
        <f t="shared" si="19"/>
        <v>0</v>
      </c>
    </row>
    <row r="124" spans="1:17" ht="18.75" x14ac:dyDescent="0.2">
      <c r="A124" s="42"/>
      <c r="B124" s="168" t="s">
        <v>147</v>
      </c>
      <c r="C124" s="169" t="s">
        <v>148</v>
      </c>
      <c r="D124" s="170"/>
      <c r="E124" s="171"/>
      <c r="F124" s="172">
        <v>896.4</v>
      </c>
      <c r="G124" s="172">
        <v>18.5</v>
      </c>
      <c r="H124" s="172">
        <f>SUM(F124)+G124</f>
        <v>914.9</v>
      </c>
      <c r="I124" s="188"/>
      <c r="J124" s="189"/>
      <c r="K124" s="188"/>
      <c r="L124" s="172">
        <f t="shared" si="31"/>
        <v>896.4</v>
      </c>
      <c r="M124" s="172">
        <f t="shared" si="31"/>
        <v>18.5</v>
      </c>
      <c r="N124" s="172">
        <f t="shared" si="31"/>
        <v>914.9</v>
      </c>
      <c r="O124" s="178">
        <f t="shared" si="18"/>
        <v>914.9</v>
      </c>
      <c r="P124" s="92">
        <f t="shared" si="19"/>
        <v>0</v>
      </c>
    </row>
    <row r="125" spans="1:17" ht="24" customHeight="1" x14ac:dyDescent="0.2">
      <c r="A125" s="42"/>
      <c r="B125" s="168" t="s">
        <v>35</v>
      </c>
      <c r="C125" s="169" t="s">
        <v>148</v>
      </c>
      <c r="D125" s="170" t="s">
        <v>36</v>
      </c>
      <c r="E125" s="171"/>
      <c r="F125" s="172">
        <v>896.4</v>
      </c>
      <c r="G125" s="172">
        <v>-96.5</v>
      </c>
      <c r="H125" s="172">
        <f>SUM(F125)+G125</f>
        <v>799.9</v>
      </c>
      <c r="I125" s="188"/>
      <c r="J125" s="189"/>
      <c r="K125" s="188"/>
      <c r="L125" s="172">
        <f t="shared" si="31"/>
        <v>896.4</v>
      </c>
      <c r="M125" s="172">
        <f t="shared" si="31"/>
        <v>-96.5</v>
      </c>
      <c r="N125" s="172">
        <f t="shared" si="31"/>
        <v>799.9</v>
      </c>
      <c r="O125" s="178">
        <f t="shared" si="18"/>
        <v>799.9</v>
      </c>
      <c r="P125" s="92">
        <f t="shared" si="19"/>
        <v>0</v>
      </c>
    </row>
    <row r="126" spans="1:17" ht="31.5" hidden="1" x14ac:dyDescent="0.2">
      <c r="A126" s="42"/>
      <c r="B126" s="168" t="s">
        <v>488</v>
      </c>
      <c r="C126" s="169" t="s">
        <v>487</v>
      </c>
      <c r="D126" s="170"/>
      <c r="E126" s="171"/>
      <c r="F126" s="172"/>
      <c r="G126" s="172"/>
      <c r="H126" s="172">
        <f>SUM(G126)</f>
        <v>0</v>
      </c>
      <c r="I126" s="188"/>
      <c r="J126" s="189"/>
      <c r="K126" s="188"/>
      <c r="L126" s="172"/>
      <c r="M126" s="172">
        <f>SUM(G126)</f>
        <v>0</v>
      </c>
      <c r="N126" s="172">
        <f t="shared" si="31"/>
        <v>0</v>
      </c>
      <c r="O126" s="178">
        <f t="shared" si="18"/>
        <v>0</v>
      </c>
      <c r="P126" s="92">
        <f t="shared" si="19"/>
        <v>0</v>
      </c>
    </row>
    <row r="127" spans="1:17" ht="28.5" customHeight="1" x14ac:dyDescent="0.2">
      <c r="A127" s="42"/>
      <c r="B127" s="168" t="s">
        <v>41</v>
      </c>
      <c r="C127" s="169" t="s">
        <v>487</v>
      </c>
      <c r="D127" s="170" t="s">
        <v>42</v>
      </c>
      <c r="E127" s="171"/>
      <c r="F127" s="172"/>
      <c r="G127" s="172">
        <v>115</v>
      </c>
      <c r="H127" s="172">
        <f>SUM(G127)</f>
        <v>115</v>
      </c>
      <c r="I127" s="188"/>
      <c r="J127" s="189"/>
      <c r="K127" s="188"/>
      <c r="L127" s="172"/>
      <c r="M127" s="172">
        <f>SUM(G127)</f>
        <v>115</v>
      </c>
      <c r="N127" s="172">
        <f>SUM(H127)</f>
        <v>115</v>
      </c>
      <c r="O127" s="178">
        <f t="shared" si="18"/>
        <v>115</v>
      </c>
      <c r="P127" s="92">
        <f t="shared" si="19"/>
        <v>0</v>
      </c>
    </row>
    <row r="128" spans="1:17" ht="47.25" x14ac:dyDescent="0.2">
      <c r="A128" s="42"/>
      <c r="B128" s="168" t="s">
        <v>149</v>
      </c>
      <c r="C128" s="169" t="s">
        <v>150</v>
      </c>
      <c r="D128" s="170" t="s">
        <v>26</v>
      </c>
      <c r="E128" s="171"/>
      <c r="F128" s="172">
        <f t="shared" ref="F128:N129" si="32">F129</f>
        <v>7530.9</v>
      </c>
      <c r="G128" s="172">
        <f t="shared" si="32"/>
        <v>0</v>
      </c>
      <c r="H128" s="172">
        <f t="shared" si="32"/>
        <v>7530.9</v>
      </c>
      <c r="I128" s="188">
        <f t="shared" si="32"/>
        <v>0</v>
      </c>
      <c r="J128" s="189"/>
      <c r="K128" s="188">
        <f t="shared" si="32"/>
        <v>0</v>
      </c>
      <c r="L128" s="172">
        <f t="shared" si="32"/>
        <v>7530.9</v>
      </c>
      <c r="M128" s="172">
        <f t="shared" si="32"/>
        <v>0</v>
      </c>
      <c r="N128" s="172">
        <f t="shared" si="32"/>
        <v>7530.9</v>
      </c>
      <c r="O128" s="178">
        <f t="shared" si="18"/>
        <v>7530.9</v>
      </c>
      <c r="P128" s="92">
        <f t="shared" si="19"/>
        <v>0</v>
      </c>
    </row>
    <row r="129" spans="1:17" ht="31.5" x14ac:dyDescent="0.2">
      <c r="A129" s="42"/>
      <c r="B129" s="168" t="s">
        <v>39</v>
      </c>
      <c r="C129" s="169" t="s">
        <v>151</v>
      </c>
      <c r="D129" s="170" t="s">
        <v>26</v>
      </c>
      <c r="E129" s="171"/>
      <c r="F129" s="172">
        <f t="shared" si="32"/>
        <v>7530.9</v>
      </c>
      <c r="G129" s="172">
        <f t="shared" si="32"/>
        <v>0</v>
      </c>
      <c r="H129" s="172">
        <f t="shared" si="32"/>
        <v>7530.9</v>
      </c>
      <c r="I129" s="188">
        <f t="shared" si="32"/>
        <v>0</v>
      </c>
      <c r="J129" s="189"/>
      <c r="K129" s="188">
        <f t="shared" si="32"/>
        <v>0</v>
      </c>
      <c r="L129" s="172">
        <f t="shared" si="32"/>
        <v>7530.9</v>
      </c>
      <c r="M129" s="172">
        <f t="shared" si="32"/>
        <v>0</v>
      </c>
      <c r="N129" s="172">
        <f t="shared" si="32"/>
        <v>7530.9</v>
      </c>
      <c r="O129" s="178">
        <f t="shared" si="18"/>
        <v>7530.9</v>
      </c>
      <c r="P129" s="92">
        <f t="shared" si="19"/>
        <v>0</v>
      </c>
    </row>
    <row r="130" spans="1:17" ht="31.5" x14ac:dyDescent="0.2">
      <c r="A130" s="42"/>
      <c r="B130" s="168" t="s">
        <v>74</v>
      </c>
      <c r="C130" s="169" t="s">
        <v>151</v>
      </c>
      <c r="D130" s="170" t="s">
        <v>75</v>
      </c>
      <c r="E130" s="171"/>
      <c r="F130" s="172">
        <v>7530.9</v>
      </c>
      <c r="G130" s="172"/>
      <c r="H130" s="172">
        <f>SUM(F130)</f>
        <v>7530.9</v>
      </c>
      <c r="I130" s="188">
        <v>0</v>
      </c>
      <c r="J130" s="189"/>
      <c r="K130" s="188">
        <v>0</v>
      </c>
      <c r="L130" s="172">
        <f>SUM(F130)</f>
        <v>7530.9</v>
      </c>
      <c r="M130" s="172">
        <f>SUM(G130)</f>
        <v>0</v>
      </c>
      <c r="N130" s="172">
        <f>SUM(L130+M130)</f>
        <v>7530.9</v>
      </c>
      <c r="O130" s="178">
        <f t="shared" si="18"/>
        <v>7530.9</v>
      </c>
      <c r="P130" s="92">
        <f t="shared" si="19"/>
        <v>0</v>
      </c>
    </row>
    <row r="131" spans="1:17" ht="31.5" x14ac:dyDescent="0.2">
      <c r="A131" s="42"/>
      <c r="B131" s="200" t="s">
        <v>152</v>
      </c>
      <c r="C131" s="169" t="s">
        <v>153</v>
      </c>
      <c r="D131" s="170"/>
      <c r="E131" s="171"/>
      <c r="F131" s="201">
        <v>451.3</v>
      </c>
      <c r="G131" s="172">
        <f>SUM(G134)+G133</f>
        <v>-131.1</v>
      </c>
      <c r="H131" s="172">
        <f>SUM(F131:G131)</f>
        <v>320.20000000000005</v>
      </c>
      <c r="I131" s="188"/>
      <c r="J131" s="189"/>
      <c r="K131" s="188"/>
      <c r="L131" s="172">
        <f>SUM(F132)</f>
        <v>451.3</v>
      </c>
      <c r="M131" s="172">
        <f t="shared" ref="M131:N134" si="33">SUM(G131)</f>
        <v>-131.1</v>
      </c>
      <c r="N131" s="172">
        <f t="shared" si="33"/>
        <v>320.20000000000005</v>
      </c>
      <c r="O131" s="178">
        <f t="shared" si="18"/>
        <v>320.20000000000005</v>
      </c>
      <c r="P131" s="92">
        <f t="shared" si="19"/>
        <v>0</v>
      </c>
    </row>
    <row r="132" spans="1:17" ht="31.5" x14ac:dyDescent="0.2">
      <c r="A132" s="42"/>
      <c r="B132" s="168" t="s">
        <v>154</v>
      </c>
      <c r="C132" s="169" t="s">
        <v>155</v>
      </c>
      <c r="D132" s="170"/>
      <c r="E132" s="171"/>
      <c r="F132" s="201">
        <v>451.3</v>
      </c>
      <c r="G132" s="172">
        <f>G133+G134</f>
        <v>-131.1</v>
      </c>
      <c r="H132" s="172">
        <f>SUM(F132:G132)</f>
        <v>320.20000000000005</v>
      </c>
      <c r="I132" s="188"/>
      <c r="J132" s="189"/>
      <c r="K132" s="188"/>
      <c r="L132" s="201">
        <f>L133</f>
        <v>451.3</v>
      </c>
      <c r="M132" s="172">
        <f t="shared" si="33"/>
        <v>-131.1</v>
      </c>
      <c r="N132" s="172">
        <f>SUM(H132)</f>
        <v>320.20000000000005</v>
      </c>
      <c r="O132" s="178">
        <f t="shared" si="18"/>
        <v>320.20000000000005</v>
      </c>
      <c r="P132" s="92">
        <f t="shared" si="19"/>
        <v>0</v>
      </c>
    </row>
    <row r="133" spans="1:17" ht="31.5" x14ac:dyDescent="0.2">
      <c r="A133" s="42"/>
      <c r="B133" s="168" t="s">
        <v>35</v>
      </c>
      <c r="C133" s="169" t="s">
        <v>155</v>
      </c>
      <c r="D133" s="170" t="s">
        <v>36</v>
      </c>
      <c r="E133" s="171"/>
      <c r="F133" s="201">
        <v>451.3</v>
      </c>
      <c r="G133" s="172">
        <v>-131.1</v>
      </c>
      <c r="H133" s="172">
        <f>SUM(F133)+G133</f>
        <v>320.20000000000005</v>
      </c>
      <c r="I133" s="188"/>
      <c r="J133" s="189"/>
      <c r="K133" s="188"/>
      <c r="L133" s="172">
        <f>SUM(F133)</f>
        <v>451.3</v>
      </c>
      <c r="M133" s="172">
        <f>SUM(G133)</f>
        <v>-131.1</v>
      </c>
      <c r="N133" s="172">
        <f t="shared" si="33"/>
        <v>320.20000000000005</v>
      </c>
      <c r="O133" s="178">
        <f t="shared" si="18"/>
        <v>320.20000000000005</v>
      </c>
      <c r="P133" s="92">
        <f t="shared" si="19"/>
        <v>0</v>
      </c>
    </row>
    <row r="134" spans="1:17" ht="42" customHeight="1" x14ac:dyDescent="0.2">
      <c r="A134" s="42"/>
      <c r="B134" s="168" t="s">
        <v>131</v>
      </c>
      <c r="C134" s="169" t="s">
        <v>155</v>
      </c>
      <c r="D134" s="170" t="s">
        <v>132</v>
      </c>
      <c r="E134" s="171"/>
      <c r="F134" s="172">
        <v>0</v>
      </c>
      <c r="G134" s="172"/>
      <c r="H134" s="172">
        <f>SUM(F134)+G134</f>
        <v>0</v>
      </c>
      <c r="I134" s="188"/>
      <c r="J134" s="189"/>
      <c r="K134" s="188"/>
      <c r="L134" s="172">
        <f>SUM(F134)</f>
        <v>0</v>
      </c>
      <c r="M134" s="172">
        <f t="shared" si="33"/>
        <v>0</v>
      </c>
      <c r="N134" s="172">
        <f t="shared" si="33"/>
        <v>0</v>
      </c>
      <c r="O134" s="178">
        <f t="shared" si="18"/>
        <v>0</v>
      </c>
      <c r="P134" s="92">
        <f t="shared" si="19"/>
        <v>0</v>
      </c>
    </row>
    <row r="135" spans="1:17" ht="18.75" hidden="1" x14ac:dyDescent="0.2">
      <c r="A135" s="42"/>
      <c r="B135" s="168"/>
      <c r="C135" s="169"/>
      <c r="D135" s="170"/>
      <c r="E135" s="171"/>
      <c r="F135" s="172"/>
      <c r="G135" s="172"/>
      <c r="H135" s="172"/>
      <c r="I135" s="188"/>
      <c r="J135" s="189"/>
      <c r="K135" s="188"/>
      <c r="L135" s="172"/>
      <c r="M135" s="172">
        <f t="shared" ref="M135:N138" si="34">SUM(G135)</f>
        <v>0</v>
      </c>
      <c r="N135" s="172">
        <f t="shared" si="34"/>
        <v>0</v>
      </c>
      <c r="O135" s="178">
        <f t="shared" si="18"/>
        <v>0</v>
      </c>
      <c r="P135" s="92">
        <f t="shared" si="19"/>
        <v>0</v>
      </c>
    </row>
    <row r="136" spans="1:17" ht="18.75" hidden="1" x14ac:dyDescent="0.2">
      <c r="A136" s="42"/>
      <c r="B136" s="168"/>
      <c r="C136" s="169"/>
      <c r="D136" s="170"/>
      <c r="E136" s="171"/>
      <c r="F136" s="172"/>
      <c r="G136" s="172"/>
      <c r="H136" s="172"/>
      <c r="I136" s="188"/>
      <c r="J136" s="189"/>
      <c r="K136" s="188"/>
      <c r="L136" s="172"/>
      <c r="M136" s="172">
        <f t="shared" si="34"/>
        <v>0</v>
      </c>
      <c r="N136" s="172">
        <f t="shared" si="34"/>
        <v>0</v>
      </c>
      <c r="O136" s="178">
        <f t="shared" si="18"/>
        <v>0</v>
      </c>
      <c r="P136" s="92">
        <f t="shared" si="19"/>
        <v>0</v>
      </c>
    </row>
    <row r="137" spans="1:17" ht="18.75" hidden="1" x14ac:dyDescent="0.2">
      <c r="A137" s="42"/>
      <c r="B137" s="168"/>
      <c r="C137" s="169"/>
      <c r="D137" s="170"/>
      <c r="E137" s="171"/>
      <c r="F137" s="172"/>
      <c r="G137" s="172"/>
      <c r="H137" s="172"/>
      <c r="I137" s="188"/>
      <c r="J137" s="189"/>
      <c r="K137" s="188"/>
      <c r="L137" s="172"/>
      <c r="M137" s="172">
        <f t="shared" si="34"/>
        <v>0</v>
      </c>
      <c r="N137" s="172">
        <f t="shared" si="34"/>
        <v>0</v>
      </c>
      <c r="O137" s="178">
        <f t="shared" si="18"/>
        <v>0</v>
      </c>
      <c r="P137" s="92">
        <f t="shared" si="19"/>
        <v>0</v>
      </c>
    </row>
    <row r="138" spans="1:17" ht="31.5" hidden="1" x14ac:dyDescent="0.2">
      <c r="A138" s="42"/>
      <c r="B138" s="168" t="s">
        <v>131</v>
      </c>
      <c r="C138" s="169"/>
      <c r="D138" s="170" t="s">
        <v>132</v>
      </c>
      <c r="E138" s="171"/>
      <c r="F138" s="172"/>
      <c r="G138" s="172"/>
      <c r="H138" s="172">
        <f>SUM(G138)</f>
        <v>0</v>
      </c>
      <c r="I138" s="188"/>
      <c r="J138" s="189"/>
      <c r="K138" s="188"/>
      <c r="L138" s="172"/>
      <c r="M138" s="172">
        <f t="shared" si="34"/>
        <v>0</v>
      </c>
      <c r="N138" s="172">
        <f t="shared" si="34"/>
        <v>0</v>
      </c>
      <c r="O138" s="178">
        <f t="shared" si="18"/>
        <v>0</v>
      </c>
      <c r="P138" s="92">
        <f t="shared" si="19"/>
        <v>0</v>
      </c>
    </row>
    <row r="139" spans="1:17" ht="31.5" x14ac:dyDescent="0.2">
      <c r="A139" s="19" t="s">
        <v>156</v>
      </c>
      <c r="B139" s="182" t="s">
        <v>157</v>
      </c>
      <c r="C139" s="183" t="s">
        <v>158</v>
      </c>
      <c r="D139" s="184" t="s">
        <v>26</v>
      </c>
      <c r="E139" s="185"/>
      <c r="F139" s="186">
        <f t="shared" ref="F139:N139" si="35">F140+F147+F158+F190+F196</f>
        <v>231267.1</v>
      </c>
      <c r="G139" s="186">
        <f>G140+G147+G158+G190+G196</f>
        <v>9.0949470177292824E-13</v>
      </c>
      <c r="H139" s="186">
        <f t="shared" si="35"/>
        <v>231267.1</v>
      </c>
      <c r="I139" s="187">
        <f t="shared" si="35"/>
        <v>1590799.2999999998</v>
      </c>
      <c r="J139" s="186">
        <f t="shared" si="35"/>
        <v>72000</v>
      </c>
      <c r="K139" s="187">
        <f t="shared" si="35"/>
        <v>1662799.2999999998</v>
      </c>
      <c r="L139" s="186">
        <f t="shared" si="35"/>
        <v>1822066.4000000001</v>
      </c>
      <c r="M139" s="186">
        <f t="shared" si="35"/>
        <v>72000</v>
      </c>
      <c r="N139" s="186">
        <f t="shared" si="35"/>
        <v>1894066.4</v>
      </c>
      <c r="O139" s="178">
        <f t="shared" si="18"/>
        <v>1894066.4000000001</v>
      </c>
      <c r="P139" s="92">
        <f t="shared" si="19"/>
        <v>0</v>
      </c>
      <c r="Q139" s="25"/>
    </row>
    <row r="140" spans="1:17" ht="20.45" customHeight="1" x14ac:dyDescent="0.2">
      <c r="A140" s="49"/>
      <c r="B140" s="190" t="s">
        <v>159</v>
      </c>
      <c r="C140" s="191" t="s">
        <v>160</v>
      </c>
      <c r="D140" s="192" t="s">
        <v>26</v>
      </c>
      <c r="E140" s="193"/>
      <c r="F140" s="194">
        <f t="shared" ref="F140:N142" si="36">F141</f>
        <v>1798.4</v>
      </c>
      <c r="G140" s="194">
        <f>G141+G144</f>
        <v>0</v>
      </c>
      <c r="H140" s="194">
        <f>H141+H144</f>
        <v>1798.4</v>
      </c>
      <c r="I140" s="195">
        <f t="shared" si="36"/>
        <v>2934.3</v>
      </c>
      <c r="J140" s="196">
        <f>J141</f>
        <v>0</v>
      </c>
      <c r="K140" s="195">
        <f t="shared" si="36"/>
        <v>2934.3</v>
      </c>
      <c r="L140" s="194">
        <f>L141</f>
        <v>4732.7000000000007</v>
      </c>
      <c r="M140" s="194">
        <f>M141</f>
        <v>0</v>
      </c>
      <c r="N140" s="194">
        <f>SUM(N141+N144)</f>
        <v>4732.7000000000007</v>
      </c>
      <c r="O140" s="178">
        <f t="shared" si="18"/>
        <v>4732.7000000000007</v>
      </c>
      <c r="P140" s="92">
        <f t="shared" si="19"/>
        <v>0</v>
      </c>
    </row>
    <row r="141" spans="1:17" ht="31.5" x14ac:dyDescent="0.2">
      <c r="A141" s="42"/>
      <c r="B141" s="168" t="s">
        <v>161</v>
      </c>
      <c r="C141" s="169" t="s">
        <v>162</v>
      </c>
      <c r="D141" s="170" t="s">
        <v>26</v>
      </c>
      <c r="E141" s="171"/>
      <c r="F141" s="172">
        <f t="shared" si="36"/>
        <v>1798.4</v>
      </c>
      <c r="G141" s="172">
        <f t="shared" si="36"/>
        <v>0</v>
      </c>
      <c r="H141" s="172">
        <f t="shared" si="36"/>
        <v>1798.4</v>
      </c>
      <c r="I141" s="188">
        <f t="shared" si="36"/>
        <v>2934.3</v>
      </c>
      <c r="J141" s="189">
        <f>J142</f>
        <v>0</v>
      </c>
      <c r="K141" s="188">
        <f t="shared" si="36"/>
        <v>2934.3</v>
      </c>
      <c r="L141" s="172">
        <f t="shared" si="36"/>
        <v>4732.7000000000007</v>
      </c>
      <c r="M141" s="172">
        <f t="shared" si="36"/>
        <v>0</v>
      </c>
      <c r="N141" s="172">
        <f t="shared" si="36"/>
        <v>4732.7000000000007</v>
      </c>
      <c r="O141" s="178">
        <f t="shared" si="18"/>
        <v>4732.7000000000007</v>
      </c>
      <c r="P141" s="92">
        <f t="shared" si="19"/>
        <v>0</v>
      </c>
    </row>
    <row r="142" spans="1:17" ht="32.25" customHeight="1" x14ac:dyDescent="0.2">
      <c r="A142" s="42"/>
      <c r="B142" s="168" t="s">
        <v>163</v>
      </c>
      <c r="C142" s="169" t="s">
        <v>164</v>
      </c>
      <c r="D142" s="170" t="s">
        <v>26</v>
      </c>
      <c r="E142" s="171"/>
      <c r="F142" s="172">
        <f t="shared" si="36"/>
        <v>1798.4</v>
      </c>
      <c r="G142" s="172">
        <f t="shared" si="36"/>
        <v>0</v>
      </c>
      <c r="H142" s="172">
        <f t="shared" si="36"/>
        <v>1798.4</v>
      </c>
      <c r="I142" s="188">
        <f t="shared" si="36"/>
        <v>2934.3</v>
      </c>
      <c r="J142" s="189">
        <f>J143</f>
        <v>0</v>
      </c>
      <c r="K142" s="188">
        <f t="shared" si="36"/>
        <v>2934.3</v>
      </c>
      <c r="L142" s="172">
        <f t="shared" si="36"/>
        <v>4732.7000000000007</v>
      </c>
      <c r="M142" s="172">
        <f t="shared" si="36"/>
        <v>0</v>
      </c>
      <c r="N142" s="172">
        <f t="shared" si="36"/>
        <v>4732.7000000000007</v>
      </c>
      <c r="O142" s="178">
        <f t="shared" si="18"/>
        <v>4732.7000000000007</v>
      </c>
      <c r="P142" s="92">
        <f t="shared" si="19"/>
        <v>0</v>
      </c>
    </row>
    <row r="143" spans="1:17" ht="18.75" x14ac:dyDescent="0.2">
      <c r="A143" s="42"/>
      <c r="B143" s="168" t="s">
        <v>54</v>
      </c>
      <c r="C143" s="169" t="s">
        <v>164</v>
      </c>
      <c r="D143" s="170" t="s">
        <v>55</v>
      </c>
      <c r="E143" s="171"/>
      <c r="F143" s="172">
        <v>1798.4</v>
      </c>
      <c r="G143" s="172"/>
      <c r="H143" s="172">
        <f>SUM(F143+G143)</f>
        <v>1798.4</v>
      </c>
      <c r="I143" s="188">
        <v>2934.3</v>
      </c>
      <c r="J143" s="189"/>
      <c r="K143" s="188">
        <f>I143+J143</f>
        <v>2934.3</v>
      </c>
      <c r="L143" s="172">
        <f>SUM(F143+I143)</f>
        <v>4732.7000000000007</v>
      </c>
      <c r="M143" s="172">
        <f>G143+J143</f>
        <v>0</v>
      </c>
      <c r="N143" s="172">
        <f>SUM(H143+K143)</f>
        <v>4732.7000000000007</v>
      </c>
      <c r="O143" s="178">
        <f t="shared" si="18"/>
        <v>4732.7000000000007</v>
      </c>
      <c r="P143" s="92">
        <f t="shared" si="19"/>
        <v>0</v>
      </c>
    </row>
    <row r="144" spans="1:17" ht="0.75" customHeight="1" x14ac:dyDescent="0.2">
      <c r="A144" s="42"/>
      <c r="B144" s="168" t="s">
        <v>490</v>
      </c>
      <c r="C144" s="169" t="s">
        <v>489</v>
      </c>
      <c r="D144" s="170"/>
      <c r="E144" s="171"/>
      <c r="F144" s="172"/>
      <c r="G144" s="172">
        <f>SUM(G146)</f>
        <v>0</v>
      </c>
      <c r="H144" s="172">
        <f>SUM(H146)</f>
        <v>0</v>
      </c>
      <c r="I144" s="188"/>
      <c r="J144" s="189"/>
      <c r="K144" s="188"/>
      <c r="L144" s="172"/>
      <c r="M144" s="172">
        <f t="shared" ref="M144:N146" si="37">SUM(G144)</f>
        <v>0</v>
      </c>
      <c r="N144" s="172">
        <f t="shared" si="37"/>
        <v>0</v>
      </c>
      <c r="O144" s="178">
        <f t="shared" si="18"/>
        <v>0</v>
      </c>
      <c r="P144" s="92">
        <f t="shared" si="19"/>
        <v>0</v>
      </c>
    </row>
    <row r="145" spans="1:17" ht="47.25" hidden="1" x14ac:dyDescent="0.2">
      <c r="A145" s="42"/>
      <c r="B145" s="168" t="s">
        <v>492</v>
      </c>
      <c r="C145" s="169" t="s">
        <v>491</v>
      </c>
      <c r="D145" s="170"/>
      <c r="E145" s="171"/>
      <c r="F145" s="172"/>
      <c r="G145" s="172">
        <f>SUM(G146)</f>
        <v>0</v>
      </c>
      <c r="H145" s="172">
        <f>SUM(H146)</f>
        <v>0</v>
      </c>
      <c r="I145" s="188"/>
      <c r="J145" s="189"/>
      <c r="K145" s="188"/>
      <c r="L145" s="172"/>
      <c r="M145" s="172">
        <f t="shared" si="37"/>
        <v>0</v>
      </c>
      <c r="N145" s="172">
        <f t="shared" si="37"/>
        <v>0</v>
      </c>
      <c r="O145" s="178">
        <f t="shared" si="18"/>
        <v>0</v>
      </c>
      <c r="P145" s="92">
        <f t="shared" si="19"/>
        <v>0</v>
      </c>
    </row>
    <row r="146" spans="1:17" ht="31.5" hidden="1" x14ac:dyDescent="0.2">
      <c r="A146" s="42"/>
      <c r="B146" s="168" t="s">
        <v>131</v>
      </c>
      <c r="C146" s="169" t="s">
        <v>491</v>
      </c>
      <c r="D146" s="170" t="s">
        <v>132</v>
      </c>
      <c r="E146" s="171"/>
      <c r="F146" s="172"/>
      <c r="G146" s="172"/>
      <c r="H146" s="172">
        <f>SUM(G146)</f>
        <v>0</v>
      </c>
      <c r="I146" s="188"/>
      <c r="J146" s="189"/>
      <c r="K146" s="188"/>
      <c r="L146" s="172"/>
      <c r="M146" s="172">
        <f t="shared" si="37"/>
        <v>0</v>
      </c>
      <c r="N146" s="172">
        <f t="shared" si="37"/>
        <v>0</v>
      </c>
      <c r="O146" s="178">
        <f t="shared" si="18"/>
        <v>0</v>
      </c>
      <c r="P146" s="92">
        <f t="shared" si="19"/>
        <v>0</v>
      </c>
    </row>
    <row r="147" spans="1:17" ht="31.5" x14ac:dyDescent="0.2">
      <c r="A147" s="49"/>
      <c r="B147" s="190" t="s">
        <v>165</v>
      </c>
      <c r="C147" s="191" t="s">
        <v>166</v>
      </c>
      <c r="D147" s="192" t="s">
        <v>26</v>
      </c>
      <c r="E147" s="193"/>
      <c r="F147" s="194">
        <f t="shared" ref="F147:N147" si="38">F148</f>
        <v>9123.2000000000007</v>
      </c>
      <c r="G147" s="194">
        <f t="shared" si="38"/>
        <v>0</v>
      </c>
      <c r="H147" s="194">
        <f t="shared" si="38"/>
        <v>9123.2000000000007</v>
      </c>
      <c r="I147" s="195">
        <f t="shared" si="38"/>
        <v>1576707.7999999998</v>
      </c>
      <c r="J147" s="194">
        <f t="shared" si="38"/>
        <v>0</v>
      </c>
      <c r="K147" s="195">
        <f t="shared" si="38"/>
        <v>1576707.7999999998</v>
      </c>
      <c r="L147" s="194">
        <f t="shared" si="38"/>
        <v>1585831</v>
      </c>
      <c r="M147" s="194">
        <f t="shared" si="38"/>
        <v>0</v>
      </c>
      <c r="N147" s="194">
        <f t="shared" si="38"/>
        <v>1585831</v>
      </c>
      <c r="O147" s="178">
        <f t="shared" si="18"/>
        <v>1585831</v>
      </c>
      <c r="P147" s="92">
        <f t="shared" si="19"/>
        <v>0</v>
      </c>
      <c r="Q147" s="55"/>
    </row>
    <row r="148" spans="1:17" ht="39.6" customHeight="1" x14ac:dyDescent="0.2">
      <c r="A148" s="42"/>
      <c r="B148" s="168" t="s">
        <v>167</v>
      </c>
      <c r="C148" s="169" t="s">
        <v>168</v>
      </c>
      <c r="D148" s="170" t="s">
        <v>26</v>
      </c>
      <c r="E148" s="171"/>
      <c r="F148" s="172">
        <f>F149+F152+F154+F156</f>
        <v>9123.2000000000007</v>
      </c>
      <c r="G148" s="172">
        <f>SUM(G149+G156)+G152</f>
        <v>0</v>
      </c>
      <c r="H148" s="172">
        <f>H149+H152+H154+H156</f>
        <v>9123.2000000000007</v>
      </c>
      <c r="I148" s="188">
        <f t="shared" ref="I148:N148" si="39">I149+I152+I154+I156</f>
        <v>1576707.7999999998</v>
      </c>
      <c r="J148" s="172">
        <f>SUM(J152+J156)</f>
        <v>0</v>
      </c>
      <c r="K148" s="188">
        <f t="shared" si="39"/>
        <v>1576707.7999999998</v>
      </c>
      <c r="L148" s="172">
        <f t="shared" si="39"/>
        <v>1585831</v>
      </c>
      <c r="M148" s="172">
        <f>SUM(G148+J148)</f>
        <v>0</v>
      </c>
      <c r="N148" s="172">
        <f t="shared" si="39"/>
        <v>1585831</v>
      </c>
      <c r="O148" s="178">
        <f t="shared" si="18"/>
        <v>1585831</v>
      </c>
      <c r="P148" s="92">
        <f t="shared" si="19"/>
        <v>0</v>
      </c>
      <c r="Q148" s="48"/>
    </row>
    <row r="149" spans="1:17" ht="18.75" x14ac:dyDescent="0.2">
      <c r="A149" s="42"/>
      <c r="B149" s="168" t="s">
        <v>169</v>
      </c>
      <c r="C149" s="169" t="s">
        <v>170</v>
      </c>
      <c r="D149" s="170" t="s">
        <v>26</v>
      </c>
      <c r="E149" s="171"/>
      <c r="F149" s="172">
        <f>F150+F151</f>
        <v>183</v>
      </c>
      <c r="G149" s="172">
        <f>G150+G151</f>
        <v>0</v>
      </c>
      <c r="H149" s="172">
        <f>H150+H151</f>
        <v>183</v>
      </c>
      <c r="I149" s="188">
        <f>I150</f>
        <v>1529.5</v>
      </c>
      <c r="J149" s="172">
        <f>J150</f>
        <v>0</v>
      </c>
      <c r="K149" s="188">
        <f>K150</f>
        <v>1529.5</v>
      </c>
      <c r="L149" s="172">
        <f>L150+L151</f>
        <v>1712.5</v>
      </c>
      <c r="M149" s="172">
        <f>M150+M151</f>
        <v>0</v>
      </c>
      <c r="N149" s="172">
        <f>N150+N151</f>
        <v>1712.5</v>
      </c>
      <c r="O149" s="178">
        <f t="shared" ref="O149:O214" si="40">L149+M149</f>
        <v>1712.5</v>
      </c>
      <c r="P149" s="92">
        <f t="shared" ref="P149:P214" si="41">O149-N149</f>
        <v>0</v>
      </c>
    </row>
    <row r="150" spans="1:17" ht="31.5" x14ac:dyDescent="0.2">
      <c r="A150" s="42"/>
      <c r="B150" s="168" t="s">
        <v>35</v>
      </c>
      <c r="C150" s="169" t="s">
        <v>170</v>
      </c>
      <c r="D150" s="170" t="s">
        <v>36</v>
      </c>
      <c r="E150" s="171"/>
      <c r="F150" s="172">
        <v>152.19999999999999</v>
      </c>
      <c r="G150" s="172"/>
      <c r="H150" s="172">
        <f>SUM(F150+G150)</f>
        <v>152.19999999999999</v>
      </c>
      <c r="I150" s="188">
        <v>1529.5</v>
      </c>
      <c r="J150" s="189"/>
      <c r="K150" s="189">
        <f>SUM(I150)</f>
        <v>1529.5</v>
      </c>
      <c r="L150" s="172">
        <f>F150+I150</f>
        <v>1681.7</v>
      </c>
      <c r="M150" s="172">
        <f>G150+J150</f>
        <v>0</v>
      </c>
      <c r="N150" s="172">
        <f>H150+K150</f>
        <v>1681.7</v>
      </c>
      <c r="O150" s="178">
        <f t="shared" si="40"/>
        <v>1681.7</v>
      </c>
      <c r="P150" s="92">
        <f t="shared" si="41"/>
        <v>0</v>
      </c>
    </row>
    <row r="151" spans="1:17" ht="31.5" x14ac:dyDescent="0.2">
      <c r="A151" s="42"/>
      <c r="B151" s="168" t="s">
        <v>131</v>
      </c>
      <c r="C151" s="169" t="s">
        <v>170</v>
      </c>
      <c r="D151" s="170" t="s">
        <v>132</v>
      </c>
      <c r="E151" s="171"/>
      <c r="F151" s="172">
        <v>30.8</v>
      </c>
      <c r="G151" s="172"/>
      <c r="H151" s="172">
        <f>SUM(F151)+G151</f>
        <v>30.8</v>
      </c>
      <c r="I151" s="188"/>
      <c r="J151" s="189"/>
      <c r="K151" s="189"/>
      <c r="L151" s="172">
        <f>SUM(F151)</f>
        <v>30.8</v>
      </c>
      <c r="M151" s="172">
        <f>SUM(G151)</f>
        <v>0</v>
      </c>
      <c r="N151" s="172">
        <f>SUM(H151)</f>
        <v>30.8</v>
      </c>
      <c r="O151" s="178">
        <f t="shared" si="40"/>
        <v>30.8</v>
      </c>
      <c r="P151" s="92">
        <f t="shared" si="41"/>
        <v>0</v>
      </c>
    </row>
    <row r="152" spans="1:17" ht="20.45" customHeight="1" x14ac:dyDescent="0.2">
      <c r="A152" s="42"/>
      <c r="B152" s="168" t="s">
        <v>171</v>
      </c>
      <c r="C152" s="169" t="s">
        <v>172</v>
      </c>
      <c r="D152" s="170" t="s">
        <v>26</v>
      </c>
      <c r="E152" s="171"/>
      <c r="F152" s="172">
        <f t="shared" ref="F152:N152" si="42">F153</f>
        <v>7807.5</v>
      </c>
      <c r="G152" s="172">
        <f t="shared" si="42"/>
        <v>0</v>
      </c>
      <c r="H152" s="172">
        <f t="shared" si="42"/>
        <v>7807.5</v>
      </c>
      <c r="I152" s="188">
        <f t="shared" si="42"/>
        <v>1553657.4</v>
      </c>
      <c r="J152" s="189">
        <f t="shared" si="42"/>
        <v>0</v>
      </c>
      <c r="K152" s="188">
        <f t="shared" si="42"/>
        <v>1553657.4</v>
      </c>
      <c r="L152" s="172">
        <f t="shared" si="42"/>
        <v>1561464.9</v>
      </c>
      <c r="M152" s="172">
        <f t="shared" si="42"/>
        <v>0</v>
      </c>
      <c r="N152" s="172">
        <f t="shared" si="42"/>
        <v>1561464.9</v>
      </c>
      <c r="O152" s="178">
        <f t="shared" si="40"/>
        <v>1561464.9</v>
      </c>
      <c r="P152" s="92">
        <f t="shared" si="41"/>
        <v>0</v>
      </c>
    </row>
    <row r="153" spans="1:17" ht="31.5" x14ac:dyDescent="0.2">
      <c r="A153" s="42"/>
      <c r="B153" s="168" t="s">
        <v>131</v>
      </c>
      <c r="C153" s="169" t="s">
        <v>172</v>
      </c>
      <c r="D153" s="170" t="s">
        <v>132</v>
      </c>
      <c r="E153" s="171"/>
      <c r="F153" s="172">
        <v>7807.5</v>
      </c>
      <c r="G153" s="172"/>
      <c r="H153" s="172">
        <v>7807.5</v>
      </c>
      <c r="I153" s="188">
        <v>1553657.4</v>
      </c>
      <c r="J153" s="189"/>
      <c r="K153" s="188">
        <v>1553657.4</v>
      </c>
      <c r="L153" s="172">
        <f>SUM(F153+I153)</f>
        <v>1561464.9</v>
      </c>
      <c r="M153" s="172">
        <f>SUM(G153)+J153</f>
        <v>0</v>
      </c>
      <c r="N153" s="172">
        <f>SUM(H153+K153)</f>
        <v>1561464.9</v>
      </c>
      <c r="O153" s="178">
        <f t="shared" si="40"/>
        <v>1561464.9</v>
      </c>
      <c r="P153" s="92">
        <f t="shared" si="41"/>
        <v>0</v>
      </c>
    </row>
    <row r="154" spans="1:17" ht="18.75" x14ac:dyDescent="0.2">
      <c r="A154" s="42"/>
      <c r="B154" s="168" t="s">
        <v>173</v>
      </c>
      <c r="C154" s="169" t="s">
        <v>174</v>
      </c>
      <c r="D154" s="170" t="s">
        <v>26</v>
      </c>
      <c r="E154" s="171"/>
      <c r="F154" s="172">
        <f>F155</f>
        <v>386.1</v>
      </c>
      <c r="G154" s="172">
        <f>G155</f>
        <v>0</v>
      </c>
      <c r="H154" s="172">
        <f>H155</f>
        <v>386.1</v>
      </c>
      <c r="I154" s="188">
        <f>I155</f>
        <v>7335.5</v>
      </c>
      <c r="J154" s="189"/>
      <c r="K154" s="188">
        <f>K155</f>
        <v>7335.5</v>
      </c>
      <c r="L154" s="172">
        <f>L155</f>
        <v>7721.6</v>
      </c>
      <c r="M154" s="172">
        <f>M155</f>
        <v>0</v>
      </c>
      <c r="N154" s="172">
        <f>N155</f>
        <v>7721.6</v>
      </c>
      <c r="O154" s="178">
        <f t="shared" si="40"/>
        <v>7721.6</v>
      </c>
      <c r="P154" s="92">
        <f t="shared" si="41"/>
        <v>0</v>
      </c>
    </row>
    <row r="155" spans="1:17" ht="31.5" x14ac:dyDescent="0.2">
      <c r="A155" s="42"/>
      <c r="B155" s="168" t="s">
        <v>131</v>
      </c>
      <c r="C155" s="169" t="s">
        <v>174</v>
      </c>
      <c r="D155" s="170" t="s">
        <v>132</v>
      </c>
      <c r="E155" s="171"/>
      <c r="F155" s="172">
        <v>386.1</v>
      </c>
      <c r="G155" s="172"/>
      <c r="H155" s="172">
        <f>SUM(F155)</f>
        <v>386.1</v>
      </c>
      <c r="I155" s="188">
        <f>14200-6864.5</f>
        <v>7335.5</v>
      </c>
      <c r="J155" s="189"/>
      <c r="K155" s="188">
        <f>14200-6864.5</f>
        <v>7335.5</v>
      </c>
      <c r="L155" s="188">
        <f>SUM(F155+I155)</f>
        <v>7721.6</v>
      </c>
      <c r="M155" s="172">
        <f>SUM(G155)</f>
        <v>0</v>
      </c>
      <c r="N155" s="188">
        <f>SUM(H155+K155)</f>
        <v>7721.6</v>
      </c>
      <c r="O155" s="178">
        <f t="shared" si="40"/>
        <v>7721.6</v>
      </c>
      <c r="P155" s="92">
        <f t="shared" si="41"/>
        <v>0</v>
      </c>
    </row>
    <row r="156" spans="1:17" ht="18.75" x14ac:dyDescent="0.2">
      <c r="A156" s="42"/>
      <c r="B156" s="168" t="s">
        <v>175</v>
      </c>
      <c r="C156" s="169" t="s">
        <v>176</v>
      </c>
      <c r="D156" s="170" t="s">
        <v>26</v>
      </c>
      <c r="E156" s="171"/>
      <c r="F156" s="172">
        <f>F157</f>
        <v>746.6</v>
      </c>
      <c r="G156" s="172">
        <f>G157</f>
        <v>0</v>
      </c>
      <c r="H156" s="172">
        <f>H157</f>
        <v>746.6</v>
      </c>
      <c r="I156" s="188">
        <f>I157</f>
        <v>14185.4</v>
      </c>
      <c r="J156" s="189"/>
      <c r="K156" s="188">
        <f>K157</f>
        <v>14185.4</v>
      </c>
      <c r="L156" s="172">
        <f>L157</f>
        <v>14932</v>
      </c>
      <c r="M156" s="172">
        <f>M157</f>
        <v>0</v>
      </c>
      <c r="N156" s="172">
        <f>N157</f>
        <v>14932</v>
      </c>
      <c r="O156" s="178">
        <f t="shared" si="40"/>
        <v>14932</v>
      </c>
      <c r="P156" s="92">
        <f t="shared" si="41"/>
        <v>0</v>
      </c>
    </row>
    <row r="157" spans="1:17" ht="31.5" x14ac:dyDescent="0.2">
      <c r="A157" s="42"/>
      <c r="B157" s="168" t="s">
        <v>131</v>
      </c>
      <c r="C157" s="169" t="s">
        <v>176</v>
      </c>
      <c r="D157" s="170" t="s">
        <v>132</v>
      </c>
      <c r="E157" s="171"/>
      <c r="F157" s="172">
        <v>746.6</v>
      </c>
      <c r="G157" s="172"/>
      <c r="H157" s="172">
        <f>663.2+83.4</f>
        <v>746.6</v>
      </c>
      <c r="I157" s="188">
        <v>14185.4</v>
      </c>
      <c r="J157" s="189"/>
      <c r="K157" s="188">
        <f>SUM(I157)</f>
        <v>14185.4</v>
      </c>
      <c r="L157" s="172">
        <f>SUM(F157+I157)</f>
        <v>14932</v>
      </c>
      <c r="M157" s="172">
        <f>SUM(J157)+G157</f>
        <v>0</v>
      </c>
      <c r="N157" s="172">
        <f>SUM(H157+K157)</f>
        <v>14932</v>
      </c>
      <c r="O157" s="178">
        <f t="shared" si="40"/>
        <v>14932</v>
      </c>
      <c r="P157" s="92">
        <f t="shared" si="41"/>
        <v>0</v>
      </c>
    </row>
    <row r="158" spans="1:17" ht="18.75" x14ac:dyDescent="0.2">
      <c r="A158" s="49"/>
      <c r="B158" s="190" t="s">
        <v>177</v>
      </c>
      <c r="C158" s="191" t="s">
        <v>178</v>
      </c>
      <c r="D158" s="192" t="s">
        <v>26</v>
      </c>
      <c r="E158" s="193"/>
      <c r="F158" s="194">
        <f t="shared" ref="F158:N158" si="43">F159</f>
        <v>69625.099999999991</v>
      </c>
      <c r="G158" s="194">
        <f t="shared" si="43"/>
        <v>-64.999999999999091</v>
      </c>
      <c r="H158" s="194">
        <f t="shared" si="43"/>
        <v>69560.100000000006</v>
      </c>
      <c r="I158" s="195">
        <f t="shared" si="43"/>
        <v>11157.199999999999</v>
      </c>
      <c r="J158" s="195">
        <f t="shared" si="43"/>
        <v>0</v>
      </c>
      <c r="K158" s="195">
        <f t="shared" si="43"/>
        <v>11157.199999999999</v>
      </c>
      <c r="L158" s="194">
        <f t="shared" si="43"/>
        <v>80782.299999999988</v>
      </c>
      <c r="M158" s="194">
        <f t="shared" si="43"/>
        <v>-64.999999999999091</v>
      </c>
      <c r="N158" s="194">
        <f t="shared" si="43"/>
        <v>80717.299999999988</v>
      </c>
      <c r="O158" s="178">
        <f t="shared" si="40"/>
        <v>80717.299999999988</v>
      </c>
      <c r="P158" s="92">
        <f t="shared" si="41"/>
        <v>0</v>
      </c>
      <c r="Q158" s="55"/>
    </row>
    <row r="159" spans="1:17" ht="34.9" customHeight="1" x14ac:dyDescent="0.2">
      <c r="A159" s="42"/>
      <c r="B159" s="168" t="s">
        <v>179</v>
      </c>
      <c r="C159" s="169" t="s">
        <v>180</v>
      </c>
      <c r="D159" s="170" t="s">
        <v>26</v>
      </c>
      <c r="E159" s="171"/>
      <c r="F159" s="172">
        <f>F160+F162+F164+F166+F172+F174+F168+F184+F180</f>
        <v>69625.099999999991</v>
      </c>
      <c r="G159" s="172">
        <f>G160+G162+G164+G166+G168+G172+G174+G180+G182+G184</f>
        <v>-64.999999999999091</v>
      </c>
      <c r="H159" s="172">
        <f>H160+H162+H164+H166+H172+H174+H168+H184+H180</f>
        <v>69560.100000000006</v>
      </c>
      <c r="I159" s="188">
        <f>SUM(I162+I170+I182+I184)+I180</f>
        <v>11157.199999999999</v>
      </c>
      <c r="J159" s="189">
        <f>SUM(J184)+J180+J182+J170</f>
        <v>0</v>
      </c>
      <c r="K159" s="188">
        <f>SUM(K162+K170+K182+K184)+K180</f>
        <v>11157.199999999999</v>
      </c>
      <c r="L159" s="172">
        <f>SUM(L160+L162+L164+L166+L168+L170+L172+L174+L180+L182+L184)</f>
        <v>80782.299999999988</v>
      </c>
      <c r="M159" s="172">
        <f>M160+M162+M164+M166+M168+M172+M174+M180+M182+M184</f>
        <v>-64.999999999999091</v>
      </c>
      <c r="N159" s="172">
        <f>SUM(N160+N162+N164+N166+N168+N170+N172+N174+N180+N182+N184)</f>
        <v>80717.299999999988</v>
      </c>
      <c r="O159" s="178">
        <f t="shared" si="40"/>
        <v>80717.299999999988</v>
      </c>
      <c r="P159" s="92">
        <f t="shared" si="41"/>
        <v>0</v>
      </c>
      <c r="Q159" s="48"/>
    </row>
    <row r="160" spans="1:17" ht="18.75" x14ac:dyDescent="0.2">
      <c r="A160" s="42"/>
      <c r="B160" s="168" t="s">
        <v>181</v>
      </c>
      <c r="C160" s="169" t="s">
        <v>182</v>
      </c>
      <c r="D160" s="170" t="s">
        <v>26</v>
      </c>
      <c r="E160" s="171"/>
      <c r="F160" s="172">
        <f>F161</f>
        <v>23600.3</v>
      </c>
      <c r="G160" s="172">
        <f>G161</f>
        <v>3290.4</v>
      </c>
      <c r="H160" s="172">
        <f>H161</f>
        <v>26890.7</v>
      </c>
      <c r="I160" s="188">
        <f>I161</f>
        <v>0</v>
      </c>
      <c r="J160" s="189"/>
      <c r="K160" s="188">
        <f>K161</f>
        <v>0</v>
      </c>
      <c r="L160" s="172">
        <f>L161</f>
        <v>23600.3</v>
      </c>
      <c r="M160" s="172">
        <f>M161</f>
        <v>3290.4</v>
      </c>
      <c r="N160" s="172">
        <f>N161</f>
        <v>26890.7</v>
      </c>
      <c r="O160" s="178">
        <f t="shared" si="40"/>
        <v>26890.7</v>
      </c>
      <c r="P160" s="92">
        <f t="shared" si="41"/>
        <v>0</v>
      </c>
    </row>
    <row r="161" spans="1:17" ht="31.5" x14ac:dyDescent="0.2">
      <c r="A161" s="42"/>
      <c r="B161" s="168" t="s">
        <v>35</v>
      </c>
      <c r="C161" s="169" t="s">
        <v>182</v>
      </c>
      <c r="D161" s="170" t="s">
        <v>36</v>
      </c>
      <c r="E161" s="171"/>
      <c r="F161" s="172">
        <v>23600.3</v>
      </c>
      <c r="G161" s="172">
        <f>2890.4+400</f>
        <v>3290.4</v>
      </c>
      <c r="H161" s="172">
        <f>SUM(F161)+G161</f>
        <v>26890.7</v>
      </c>
      <c r="I161" s="188">
        <v>0</v>
      </c>
      <c r="J161" s="189"/>
      <c r="K161" s="188">
        <v>0</v>
      </c>
      <c r="L161" s="172">
        <f>SUM(F161)</f>
        <v>23600.3</v>
      </c>
      <c r="M161" s="172">
        <f>SUM(G161)</f>
        <v>3290.4</v>
      </c>
      <c r="N161" s="172">
        <f>SUM(H161)</f>
        <v>26890.7</v>
      </c>
      <c r="O161" s="178">
        <f t="shared" si="40"/>
        <v>26890.7</v>
      </c>
      <c r="P161" s="92">
        <f t="shared" si="41"/>
        <v>0</v>
      </c>
    </row>
    <row r="162" spans="1:17" ht="18.75" x14ac:dyDescent="0.2">
      <c r="A162" s="42"/>
      <c r="B162" s="168" t="s">
        <v>183</v>
      </c>
      <c r="C162" s="169" t="s">
        <v>184</v>
      </c>
      <c r="D162" s="170" t="s">
        <v>26</v>
      </c>
      <c r="E162" s="171"/>
      <c r="F162" s="172">
        <f t="shared" ref="F162:N162" si="44">F163</f>
        <v>16928.8</v>
      </c>
      <c r="G162" s="172">
        <f t="shared" si="44"/>
        <v>-125.2</v>
      </c>
      <c r="H162" s="172">
        <f t="shared" si="44"/>
        <v>16803.599999999999</v>
      </c>
      <c r="I162" s="188">
        <f t="shared" si="44"/>
        <v>75</v>
      </c>
      <c r="J162" s="172">
        <f t="shared" si="44"/>
        <v>0</v>
      </c>
      <c r="K162" s="188">
        <f t="shared" si="44"/>
        <v>75</v>
      </c>
      <c r="L162" s="172">
        <f t="shared" si="44"/>
        <v>17003.8</v>
      </c>
      <c r="M162" s="172">
        <f t="shared" si="44"/>
        <v>-125.2</v>
      </c>
      <c r="N162" s="172">
        <f t="shared" si="44"/>
        <v>16878.599999999999</v>
      </c>
      <c r="O162" s="178">
        <f t="shared" si="40"/>
        <v>16878.599999999999</v>
      </c>
      <c r="P162" s="92">
        <f t="shared" si="41"/>
        <v>0</v>
      </c>
    </row>
    <row r="163" spans="1:17" ht="31.5" x14ac:dyDescent="0.2">
      <c r="A163" s="42"/>
      <c r="B163" s="168" t="s">
        <v>35</v>
      </c>
      <c r="C163" s="169" t="s">
        <v>184</v>
      </c>
      <c r="D163" s="170" t="s">
        <v>36</v>
      </c>
      <c r="E163" s="171"/>
      <c r="F163" s="172">
        <v>16928.8</v>
      </c>
      <c r="G163" s="172">
        <v>-125.2</v>
      </c>
      <c r="H163" s="172">
        <f>SUM(F163)+G163</f>
        <v>16803.599999999999</v>
      </c>
      <c r="I163" s="188">
        <v>75</v>
      </c>
      <c r="J163" s="189"/>
      <c r="K163" s="188">
        <f>SUM(I163)</f>
        <v>75</v>
      </c>
      <c r="L163" s="172">
        <f>SUM(F163+I163)</f>
        <v>17003.8</v>
      </c>
      <c r="M163" s="172">
        <f>SUM(J163)+G163</f>
        <v>-125.2</v>
      </c>
      <c r="N163" s="172">
        <f>SUM(H163+K163)</f>
        <v>16878.599999999999</v>
      </c>
      <c r="O163" s="178">
        <f t="shared" si="40"/>
        <v>16878.599999999999</v>
      </c>
      <c r="P163" s="92">
        <f t="shared" si="41"/>
        <v>0</v>
      </c>
    </row>
    <row r="164" spans="1:17" ht="18.75" x14ac:dyDescent="0.2">
      <c r="A164" s="42"/>
      <c r="B164" s="168" t="s">
        <v>185</v>
      </c>
      <c r="C164" s="169" t="s">
        <v>186</v>
      </c>
      <c r="D164" s="170" t="s">
        <v>26</v>
      </c>
      <c r="E164" s="171"/>
      <c r="F164" s="172">
        <f>F165</f>
        <v>3522.9</v>
      </c>
      <c r="G164" s="172">
        <f>G165</f>
        <v>0</v>
      </c>
      <c r="H164" s="172">
        <f>H165</f>
        <v>3522.9</v>
      </c>
      <c r="I164" s="188">
        <f>I165</f>
        <v>0</v>
      </c>
      <c r="J164" s="189"/>
      <c r="K164" s="188">
        <f>K165</f>
        <v>0</v>
      </c>
      <c r="L164" s="172">
        <f>L165</f>
        <v>3522.9</v>
      </c>
      <c r="M164" s="172">
        <f>M165</f>
        <v>0</v>
      </c>
      <c r="N164" s="172">
        <f>N165</f>
        <v>3522.9</v>
      </c>
      <c r="O164" s="178">
        <f t="shared" si="40"/>
        <v>3522.9</v>
      </c>
      <c r="P164" s="92">
        <f t="shared" si="41"/>
        <v>0</v>
      </c>
    </row>
    <row r="165" spans="1:17" ht="31.5" x14ac:dyDescent="0.2">
      <c r="A165" s="42"/>
      <c r="B165" s="168" t="s">
        <v>35</v>
      </c>
      <c r="C165" s="169" t="s">
        <v>186</v>
      </c>
      <c r="D165" s="170" t="s">
        <v>36</v>
      </c>
      <c r="E165" s="171"/>
      <c r="F165" s="172">
        <v>3522.9</v>
      </c>
      <c r="G165" s="172"/>
      <c r="H165" s="172">
        <f>SUM(F165)+G165</f>
        <v>3522.9</v>
      </c>
      <c r="I165" s="188">
        <v>0</v>
      </c>
      <c r="J165" s="189"/>
      <c r="K165" s="188">
        <v>0</v>
      </c>
      <c r="L165" s="172">
        <f>SUM(F165)</f>
        <v>3522.9</v>
      </c>
      <c r="M165" s="172">
        <f>SUM(G165)</f>
        <v>0</v>
      </c>
      <c r="N165" s="172">
        <f>SUM(L165)+M165</f>
        <v>3522.9</v>
      </c>
      <c r="O165" s="178">
        <f t="shared" si="40"/>
        <v>3522.9</v>
      </c>
      <c r="P165" s="92">
        <f t="shared" si="41"/>
        <v>0</v>
      </c>
      <c r="Q165" s="43"/>
    </row>
    <row r="166" spans="1:17" ht="18.75" x14ac:dyDescent="0.2">
      <c r="A166" s="42"/>
      <c r="B166" s="168" t="s">
        <v>187</v>
      </c>
      <c r="C166" s="169" t="s">
        <v>188</v>
      </c>
      <c r="D166" s="170" t="s">
        <v>26</v>
      </c>
      <c r="E166" s="171"/>
      <c r="F166" s="172">
        <f>F167</f>
        <v>11370</v>
      </c>
      <c r="G166" s="172">
        <f>G167</f>
        <v>-8166</v>
      </c>
      <c r="H166" s="172">
        <f>H167</f>
        <v>3204</v>
      </c>
      <c r="I166" s="188">
        <f>I167</f>
        <v>0</v>
      </c>
      <c r="J166" s="189"/>
      <c r="K166" s="188">
        <f>K167</f>
        <v>0</v>
      </c>
      <c r="L166" s="172">
        <f>L167</f>
        <v>11370</v>
      </c>
      <c r="M166" s="172">
        <f>M167</f>
        <v>-8166</v>
      </c>
      <c r="N166" s="172">
        <f>N167</f>
        <v>3204</v>
      </c>
      <c r="O166" s="178">
        <f t="shared" si="40"/>
        <v>3204</v>
      </c>
      <c r="P166" s="92">
        <f t="shared" si="41"/>
        <v>0</v>
      </c>
    </row>
    <row r="167" spans="1:17" ht="31.5" x14ac:dyDescent="0.2">
      <c r="A167" s="42"/>
      <c r="B167" s="168" t="s">
        <v>35</v>
      </c>
      <c r="C167" s="169" t="s">
        <v>188</v>
      </c>
      <c r="D167" s="170" t="s">
        <v>36</v>
      </c>
      <c r="E167" s="171"/>
      <c r="F167" s="172">
        <v>11370</v>
      </c>
      <c r="G167" s="172">
        <f>-7598.7-567.3</f>
        <v>-8166</v>
      </c>
      <c r="H167" s="172">
        <f>SUM(F167)+G167</f>
        <v>3204</v>
      </c>
      <c r="I167" s="188">
        <v>0</v>
      </c>
      <c r="J167" s="189"/>
      <c r="K167" s="188">
        <v>0</v>
      </c>
      <c r="L167" s="172">
        <f t="shared" ref="L167:N169" si="45">SUM(F167)</f>
        <v>11370</v>
      </c>
      <c r="M167" s="172">
        <f t="shared" si="45"/>
        <v>-8166</v>
      </c>
      <c r="N167" s="172">
        <f t="shared" si="45"/>
        <v>3204</v>
      </c>
      <c r="O167" s="178">
        <f t="shared" si="40"/>
        <v>3204</v>
      </c>
      <c r="P167" s="92">
        <f t="shared" si="41"/>
        <v>0</v>
      </c>
    </row>
    <row r="168" spans="1:17" ht="27" customHeight="1" x14ac:dyDescent="0.2">
      <c r="A168" s="42"/>
      <c r="B168" s="168" t="s">
        <v>189</v>
      </c>
      <c r="C168" s="169" t="s">
        <v>190</v>
      </c>
      <c r="D168" s="170"/>
      <c r="E168" s="171"/>
      <c r="F168" s="172">
        <v>583.6</v>
      </c>
      <c r="G168" s="172">
        <f>G169</f>
        <v>0</v>
      </c>
      <c r="H168" s="172">
        <f>SUM(F168)+G168</f>
        <v>583.6</v>
      </c>
      <c r="I168" s="188"/>
      <c r="J168" s="189"/>
      <c r="K168" s="188"/>
      <c r="L168" s="172">
        <f t="shared" si="45"/>
        <v>583.6</v>
      </c>
      <c r="M168" s="172">
        <f t="shared" si="45"/>
        <v>0</v>
      </c>
      <c r="N168" s="172">
        <f t="shared" si="45"/>
        <v>583.6</v>
      </c>
      <c r="O168" s="178">
        <f t="shared" si="40"/>
        <v>583.6</v>
      </c>
      <c r="P168" s="92">
        <f t="shared" si="41"/>
        <v>0</v>
      </c>
    </row>
    <row r="169" spans="1:17" ht="31.5" x14ac:dyDescent="0.2">
      <c r="A169" s="42"/>
      <c r="B169" s="168" t="s">
        <v>35</v>
      </c>
      <c r="C169" s="169" t="s">
        <v>190</v>
      </c>
      <c r="D169" s="170" t="s">
        <v>36</v>
      </c>
      <c r="E169" s="171"/>
      <c r="F169" s="172">
        <v>583.6</v>
      </c>
      <c r="G169" s="172"/>
      <c r="H169" s="172">
        <f>SUM(F169)+G169</f>
        <v>583.6</v>
      </c>
      <c r="I169" s="188"/>
      <c r="J169" s="189"/>
      <c r="K169" s="188"/>
      <c r="L169" s="172">
        <f t="shared" si="45"/>
        <v>583.6</v>
      </c>
      <c r="M169" s="172">
        <f t="shared" si="45"/>
        <v>0</v>
      </c>
      <c r="N169" s="172">
        <f t="shared" si="45"/>
        <v>583.6</v>
      </c>
      <c r="O169" s="178">
        <f t="shared" si="40"/>
        <v>583.6</v>
      </c>
      <c r="P169" s="92">
        <f t="shared" si="41"/>
        <v>0</v>
      </c>
    </row>
    <row r="170" spans="1:17" ht="18.75" x14ac:dyDescent="0.2">
      <c r="A170" s="42"/>
      <c r="B170" s="202" t="s">
        <v>482</v>
      </c>
      <c r="C170" s="169" t="s">
        <v>481</v>
      </c>
      <c r="D170" s="170"/>
      <c r="E170" s="171"/>
      <c r="F170" s="172"/>
      <c r="G170" s="172"/>
      <c r="H170" s="172"/>
      <c r="I170" s="188">
        <f t="shared" ref="I170:N170" si="46">I171</f>
        <v>3070</v>
      </c>
      <c r="J170" s="188">
        <f t="shared" si="46"/>
        <v>0</v>
      </c>
      <c r="K170" s="188">
        <f t="shared" si="46"/>
        <v>3070</v>
      </c>
      <c r="L170" s="188">
        <f t="shared" si="46"/>
        <v>3070</v>
      </c>
      <c r="M170" s="188">
        <f t="shared" si="46"/>
        <v>0</v>
      </c>
      <c r="N170" s="188">
        <f t="shared" si="46"/>
        <v>3070</v>
      </c>
      <c r="O170" s="178">
        <f t="shared" si="40"/>
        <v>3070</v>
      </c>
      <c r="P170" s="92">
        <f t="shared" si="41"/>
        <v>0</v>
      </c>
    </row>
    <row r="171" spans="1:17" ht="31.5" x14ac:dyDescent="0.2">
      <c r="A171" s="42"/>
      <c r="B171" s="197" t="s">
        <v>35</v>
      </c>
      <c r="C171" s="169" t="s">
        <v>481</v>
      </c>
      <c r="D171" s="170" t="s">
        <v>36</v>
      </c>
      <c r="E171" s="171"/>
      <c r="F171" s="172"/>
      <c r="G171" s="172"/>
      <c r="H171" s="172">
        <f>SUM(G171)</f>
        <v>0</v>
      </c>
      <c r="I171" s="188">
        <v>3070</v>
      </c>
      <c r="J171" s="189"/>
      <c r="K171" s="188">
        <f>SUM(I171:J171)</f>
        <v>3070</v>
      </c>
      <c r="L171" s="172">
        <f>F171+I171</f>
        <v>3070</v>
      </c>
      <c r="M171" s="172">
        <f>G171+J171</f>
        <v>0</v>
      </c>
      <c r="N171" s="172">
        <f>H171+K171</f>
        <v>3070</v>
      </c>
      <c r="O171" s="178">
        <f t="shared" si="40"/>
        <v>3070</v>
      </c>
      <c r="P171" s="92">
        <f t="shared" si="41"/>
        <v>0</v>
      </c>
    </row>
    <row r="172" spans="1:17" ht="31.5" x14ac:dyDescent="0.2">
      <c r="A172" s="42"/>
      <c r="B172" s="168" t="s">
        <v>191</v>
      </c>
      <c r="C172" s="169" t="s">
        <v>192</v>
      </c>
      <c r="D172" s="170" t="s">
        <v>26</v>
      </c>
      <c r="E172" s="171"/>
      <c r="F172" s="172">
        <f>F173</f>
        <v>5862.2</v>
      </c>
      <c r="G172" s="172">
        <f>G173</f>
        <v>191.3</v>
      </c>
      <c r="H172" s="172">
        <f>H173</f>
        <v>6053.5</v>
      </c>
      <c r="I172" s="188">
        <f>I173</f>
        <v>0</v>
      </c>
      <c r="J172" s="189"/>
      <c r="K172" s="188">
        <f>K173</f>
        <v>0</v>
      </c>
      <c r="L172" s="172">
        <f>L173</f>
        <v>5862.2</v>
      </c>
      <c r="M172" s="172">
        <f>M173</f>
        <v>191.3</v>
      </c>
      <c r="N172" s="172">
        <f>N173</f>
        <v>6053.5</v>
      </c>
      <c r="O172" s="178">
        <f t="shared" si="40"/>
        <v>6053.5</v>
      </c>
      <c r="P172" s="92">
        <f t="shared" si="41"/>
        <v>0</v>
      </c>
    </row>
    <row r="173" spans="1:17" ht="31.5" x14ac:dyDescent="0.2">
      <c r="A173" s="42"/>
      <c r="B173" s="168" t="s">
        <v>35</v>
      </c>
      <c r="C173" s="169" t="s">
        <v>192</v>
      </c>
      <c r="D173" s="170" t="s">
        <v>36</v>
      </c>
      <c r="E173" s="171"/>
      <c r="F173" s="172">
        <v>5862.2</v>
      </c>
      <c r="G173" s="172">
        <v>191.3</v>
      </c>
      <c r="H173" s="172">
        <f>SUM(F173:G173)</f>
        <v>6053.5</v>
      </c>
      <c r="I173" s="188">
        <v>0</v>
      </c>
      <c r="J173" s="189"/>
      <c r="K173" s="188">
        <v>0</v>
      </c>
      <c r="L173" s="172">
        <f>SUM(F173)</f>
        <v>5862.2</v>
      </c>
      <c r="M173" s="172">
        <f>SUM(G173)</f>
        <v>191.3</v>
      </c>
      <c r="N173" s="172">
        <f>SUM(H173)</f>
        <v>6053.5</v>
      </c>
      <c r="O173" s="178">
        <f t="shared" si="40"/>
        <v>6053.5</v>
      </c>
      <c r="P173" s="92">
        <f t="shared" si="41"/>
        <v>0</v>
      </c>
    </row>
    <row r="174" spans="1:17" ht="34.9" customHeight="1" x14ac:dyDescent="0.2">
      <c r="A174" s="42"/>
      <c r="B174" s="168" t="s">
        <v>193</v>
      </c>
      <c r="C174" s="169" t="s">
        <v>194</v>
      </c>
      <c r="D174" s="170" t="s">
        <v>26</v>
      </c>
      <c r="E174" s="171"/>
      <c r="F174" s="172">
        <f>F175</f>
        <v>7690.9</v>
      </c>
      <c r="G174" s="172">
        <f>G175</f>
        <v>4744.5</v>
      </c>
      <c r="H174" s="172">
        <f>H175</f>
        <v>12435.4</v>
      </c>
      <c r="I174" s="188">
        <f>I175</f>
        <v>0</v>
      </c>
      <c r="J174" s="189"/>
      <c r="K174" s="188">
        <f>K175</f>
        <v>0</v>
      </c>
      <c r="L174" s="172">
        <f>L175</f>
        <v>7690.9</v>
      </c>
      <c r="M174" s="172">
        <f>M175</f>
        <v>4744.5</v>
      </c>
      <c r="N174" s="172">
        <f>N175</f>
        <v>12435.4</v>
      </c>
      <c r="O174" s="178">
        <f t="shared" si="40"/>
        <v>12435.4</v>
      </c>
      <c r="P174" s="92">
        <f t="shared" si="41"/>
        <v>0</v>
      </c>
    </row>
    <row r="175" spans="1:17" ht="30.75" customHeight="1" x14ac:dyDescent="0.2">
      <c r="A175" s="42"/>
      <c r="B175" s="168" t="s">
        <v>35</v>
      </c>
      <c r="C175" s="169" t="s">
        <v>194</v>
      </c>
      <c r="D175" s="170" t="s">
        <v>36</v>
      </c>
      <c r="E175" s="171"/>
      <c r="F175" s="172">
        <v>7690.9</v>
      </c>
      <c r="G175" s="172">
        <f>5144.5-400</f>
        <v>4744.5</v>
      </c>
      <c r="H175" s="172">
        <f>SUM(F175)+G175</f>
        <v>12435.4</v>
      </c>
      <c r="I175" s="188">
        <v>0</v>
      </c>
      <c r="J175" s="189"/>
      <c r="K175" s="188">
        <v>0</v>
      </c>
      <c r="L175" s="172">
        <f>SUM(F175)</f>
        <v>7690.9</v>
      </c>
      <c r="M175" s="172">
        <f>SUM(G175)</f>
        <v>4744.5</v>
      </c>
      <c r="N175" s="172">
        <f>SUM(H175)</f>
        <v>12435.4</v>
      </c>
      <c r="O175" s="178">
        <f t="shared" si="40"/>
        <v>12435.4</v>
      </c>
      <c r="P175" s="92">
        <f t="shared" si="41"/>
        <v>0</v>
      </c>
    </row>
    <row r="176" spans="1:17" ht="18.75" hidden="1" x14ac:dyDescent="0.2">
      <c r="A176" s="42"/>
      <c r="B176" s="168"/>
      <c r="C176" s="169"/>
      <c r="D176" s="170"/>
      <c r="E176" s="171"/>
      <c r="F176" s="172"/>
      <c r="G176" s="172"/>
      <c r="H176" s="172"/>
      <c r="I176" s="188"/>
      <c r="J176" s="189"/>
      <c r="K176" s="189"/>
      <c r="L176" s="172"/>
      <c r="M176" s="172">
        <f t="shared" ref="M176:N179" si="47">SUM(J176)</f>
        <v>0</v>
      </c>
      <c r="N176" s="172">
        <f t="shared" si="47"/>
        <v>0</v>
      </c>
      <c r="O176" s="178">
        <f t="shared" si="40"/>
        <v>0</v>
      </c>
      <c r="P176" s="92">
        <f t="shared" si="41"/>
        <v>0</v>
      </c>
    </row>
    <row r="177" spans="1:16" ht="31.5" hidden="1" x14ac:dyDescent="0.2">
      <c r="A177" s="42"/>
      <c r="B177" s="168" t="s">
        <v>35</v>
      </c>
      <c r="C177" s="169"/>
      <c r="D177" s="170" t="s">
        <v>36</v>
      </c>
      <c r="E177" s="171"/>
      <c r="F177" s="172"/>
      <c r="G177" s="172"/>
      <c r="H177" s="172"/>
      <c r="I177" s="188"/>
      <c r="J177" s="189"/>
      <c r="K177" s="188">
        <f>SUM(J177)</f>
        <v>0</v>
      </c>
      <c r="L177" s="172"/>
      <c r="M177" s="172">
        <f t="shared" si="47"/>
        <v>0</v>
      </c>
      <c r="N177" s="172">
        <f t="shared" si="47"/>
        <v>0</v>
      </c>
      <c r="O177" s="178">
        <f t="shared" si="40"/>
        <v>0</v>
      </c>
      <c r="P177" s="92">
        <f t="shared" si="41"/>
        <v>0</v>
      </c>
    </row>
    <row r="178" spans="1:16" ht="18.75" hidden="1" x14ac:dyDescent="0.2">
      <c r="A178" s="42"/>
      <c r="B178" s="168"/>
      <c r="C178" s="169"/>
      <c r="D178" s="170"/>
      <c r="E178" s="171"/>
      <c r="F178" s="172"/>
      <c r="G178" s="172"/>
      <c r="H178" s="172"/>
      <c r="I178" s="188"/>
      <c r="J178" s="189"/>
      <c r="K178" s="189"/>
      <c r="L178" s="172"/>
      <c r="M178" s="172">
        <f t="shared" si="47"/>
        <v>0</v>
      </c>
      <c r="N178" s="172">
        <f t="shared" si="47"/>
        <v>0</v>
      </c>
      <c r="O178" s="178">
        <f t="shared" si="40"/>
        <v>0</v>
      </c>
      <c r="P178" s="92">
        <f t="shared" si="41"/>
        <v>0</v>
      </c>
    </row>
    <row r="179" spans="1:16" ht="31.5" hidden="1" x14ac:dyDescent="0.2">
      <c r="A179" s="42"/>
      <c r="B179" s="168" t="s">
        <v>35</v>
      </c>
      <c r="C179" s="169"/>
      <c r="D179" s="170" t="s">
        <v>36</v>
      </c>
      <c r="E179" s="171"/>
      <c r="F179" s="172"/>
      <c r="G179" s="172"/>
      <c r="H179" s="172"/>
      <c r="I179" s="188"/>
      <c r="J179" s="189"/>
      <c r="K179" s="189"/>
      <c r="L179" s="172"/>
      <c r="M179" s="172">
        <f t="shared" si="47"/>
        <v>0</v>
      </c>
      <c r="N179" s="172">
        <f t="shared" si="47"/>
        <v>0</v>
      </c>
      <c r="O179" s="178">
        <f t="shared" si="40"/>
        <v>0</v>
      </c>
      <c r="P179" s="92">
        <f t="shared" si="41"/>
        <v>0</v>
      </c>
    </row>
    <row r="180" spans="1:16" ht="52.15" customHeight="1" x14ac:dyDescent="0.2">
      <c r="A180" s="42"/>
      <c r="B180" s="168" t="s">
        <v>477</v>
      </c>
      <c r="C180" s="169" t="s">
        <v>474</v>
      </c>
      <c r="D180" s="170"/>
      <c r="E180" s="171"/>
      <c r="F180" s="172">
        <v>0</v>
      </c>
      <c r="G180" s="172"/>
      <c r="H180" s="172">
        <f>SUM(F180)</f>
        <v>0</v>
      </c>
      <c r="I180" s="189">
        <f>SUM(I181)</f>
        <v>2500.4</v>
      </c>
      <c r="J180" s="189">
        <f>SUM(J181)</f>
        <v>0</v>
      </c>
      <c r="K180" s="189">
        <f>SUM(K181)</f>
        <v>2500.4</v>
      </c>
      <c r="L180" s="172">
        <f>SUM(I180)</f>
        <v>2500.4</v>
      </c>
      <c r="M180" s="172">
        <f>SUM(G180)+J180</f>
        <v>0</v>
      </c>
      <c r="N180" s="172">
        <f>SUM(K180)+H180+M180</f>
        <v>2500.4</v>
      </c>
      <c r="O180" s="178">
        <f t="shared" si="40"/>
        <v>2500.4</v>
      </c>
      <c r="P180" s="92">
        <f t="shared" si="41"/>
        <v>0</v>
      </c>
    </row>
    <row r="181" spans="1:16" ht="31.5" x14ac:dyDescent="0.2">
      <c r="A181" s="42"/>
      <c r="B181" s="168" t="s">
        <v>35</v>
      </c>
      <c r="C181" s="169" t="s">
        <v>474</v>
      </c>
      <c r="D181" s="170" t="s">
        <v>36</v>
      </c>
      <c r="E181" s="171"/>
      <c r="F181" s="172">
        <v>0</v>
      </c>
      <c r="G181" s="172"/>
      <c r="H181" s="172">
        <f>SUM(F181)</f>
        <v>0</v>
      </c>
      <c r="I181" s="188">
        <v>2500.4</v>
      </c>
      <c r="J181" s="189"/>
      <c r="K181" s="189">
        <f>SUM(J181)+I181</f>
        <v>2500.4</v>
      </c>
      <c r="L181" s="172">
        <f>SUM(F181+I181)</f>
        <v>2500.4</v>
      </c>
      <c r="M181" s="172">
        <f>SUM(G181)+J181</f>
        <v>0</v>
      </c>
      <c r="N181" s="172">
        <f>SUM(K181)+H181+M181</f>
        <v>2500.4</v>
      </c>
      <c r="O181" s="178">
        <f t="shared" si="40"/>
        <v>2500.4</v>
      </c>
      <c r="P181" s="92">
        <f t="shared" si="41"/>
        <v>0</v>
      </c>
    </row>
    <row r="182" spans="1:16" ht="18.75" x14ac:dyDescent="0.2">
      <c r="A182" s="42"/>
      <c r="B182" s="168" t="s">
        <v>476</v>
      </c>
      <c r="C182" s="169" t="s">
        <v>475</v>
      </c>
      <c r="D182" s="170"/>
      <c r="E182" s="171"/>
      <c r="F182" s="172"/>
      <c r="G182" s="172"/>
      <c r="H182" s="172">
        <f>SUM(G182)</f>
        <v>0</v>
      </c>
      <c r="I182" s="188">
        <v>4251.8</v>
      </c>
      <c r="J182" s="189"/>
      <c r="K182" s="189">
        <v>4251.8</v>
      </c>
      <c r="L182" s="172">
        <f>SUM(I182)</f>
        <v>4251.8</v>
      </c>
      <c r="M182" s="172">
        <f>SUM(J182)+H182</f>
        <v>0</v>
      </c>
      <c r="N182" s="172">
        <f>SUM(K182)</f>
        <v>4251.8</v>
      </c>
      <c r="O182" s="178">
        <f t="shared" si="40"/>
        <v>4251.8</v>
      </c>
      <c r="P182" s="92">
        <f t="shared" si="41"/>
        <v>0</v>
      </c>
    </row>
    <row r="183" spans="1:16" ht="31.5" x14ac:dyDescent="0.2">
      <c r="A183" s="42"/>
      <c r="B183" s="168" t="s">
        <v>35</v>
      </c>
      <c r="C183" s="169" t="s">
        <v>475</v>
      </c>
      <c r="D183" s="170" t="s">
        <v>36</v>
      </c>
      <c r="E183" s="171"/>
      <c r="F183" s="172"/>
      <c r="G183" s="172"/>
      <c r="H183" s="172">
        <f>SUM(G183)</f>
        <v>0</v>
      </c>
      <c r="I183" s="188">
        <v>4251.8</v>
      </c>
      <c r="J183" s="189"/>
      <c r="K183" s="188">
        <v>4251.8</v>
      </c>
      <c r="L183" s="172">
        <f>SUM(I183)</f>
        <v>4251.8</v>
      </c>
      <c r="M183" s="172">
        <f>SUM(J183)+H183</f>
        <v>0</v>
      </c>
      <c r="N183" s="172">
        <f>SUM(K183)</f>
        <v>4251.8</v>
      </c>
      <c r="O183" s="178">
        <f t="shared" si="40"/>
        <v>4251.8</v>
      </c>
      <c r="P183" s="92">
        <f t="shared" si="41"/>
        <v>0</v>
      </c>
    </row>
    <row r="184" spans="1:16" ht="96" customHeight="1" x14ac:dyDescent="0.2">
      <c r="A184" s="42"/>
      <c r="B184" s="168" t="s">
        <v>493</v>
      </c>
      <c r="C184" s="169" t="s">
        <v>452</v>
      </c>
      <c r="D184" s="170"/>
      <c r="E184" s="171"/>
      <c r="F184" s="172">
        <f>SUM(F185)</f>
        <v>66.400000000000006</v>
      </c>
      <c r="G184" s="172">
        <f>SUM(G185)</f>
        <v>0</v>
      </c>
      <c r="H184" s="172">
        <f>SUM(F184)</f>
        <v>66.400000000000006</v>
      </c>
      <c r="I184" s="188">
        <f>SUM(I185)</f>
        <v>1260</v>
      </c>
      <c r="J184" s="189">
        <f>SUM(J185)</f>
        <v>0</v>
      </c>
      <c r="K184" s="188">
        <f>SUM(I184)</f>
        <v>1260</v>
      </c>
      <c r="L184" s="172">
        <f>SUM(F184+I184)</f>
        <v>1326.4</v>
      </c>
      <c r="M184" s="172">
        <f>SUM(J184)+G184</f>
        <v>0</v>
      </c>
      <c r="N184" s="172">
        <f>SUM(K184)+H184</f>
        <v>1326.4</v>
      </c>
      <c r="O184" s="178">
        <f t="shared" si="40"/>
        <v>1326.4</v>
      </c>
      <c r="P184" s="92">
        <f t="shared" si="41"/>
        <v>0</v>
      </c>
    </row>
    <row r="185" spans="1:16" ht="35.450000000000003" customHeight="1" x14ac:dyDescent="0.2">
      <c r="A185" s="42"/>
      <c r="B185" s="168" t="s">
        <v>35</v>
      </c>
      <c r="C185" s="169" t="s">
        <v>452</v>
      </c>
      <c r="D185" s="170" t="s">
        <v>36</v>
      </c>
      <c r="E185" s="171"/>
      <c r="F185" s="172">
        <v>66.400000000000006</v>
      </c>
      <c r="G185" s="172"/>
      <c r="H185" s="172">
        <f>SUM(F185)</f>
        <v>66.400000000000006</v>
      </c>
      <c r="I185" s="188">
        <v>1260</v>
      </c>
      <c r="J185" s="189"/>
      <c r="K185" s="188">
        <f>SUM(I185)</f>
        <v>1260</v>
      </c>
      <c r="L185" s="172">
        <f>SUM(F185+I185)</f>
        <v>1326.4</v>
      </c>
      <c r="M185" s="172">
        <f>SUM(J185)+G185</f>
        <v>0</v>
      </c>
      <c r="N185" s="172">
        <f>SUM(K185)+H185</f>
        <v>1326.4</v>
      </c>
      <c r="O185" s="178">
        <f t="shared" si="40"/>
        <v>1326.4</v>
      </c>
      <c r="P185" s="92">
        <f t="shared" si="41"/>
        <v>0</v>
      </c>
    </row>
    <row r="186" spans="1:16" ht="18.75" hidden="1" x14ac:dyDescent="0.2">
      <c r="A186" s="42"/>
      <c r="B186" s="168"/>
      <c r="C186" s="169" t="s">
        <v>317</v>
      </c>
      <c r="D186" s="170"/>
      <c r="E186" s="171"/>
      <c r="F186" s="172"/>
      <c r="G186" s="172"/>
      <c r="H186" s="172"/>
      <c r="I186" s="188"/>
      <c r="J186" s="189"/>
      <c r="K186" s="188"/>
      <c r="L186" s="172"/>
      <c r="M186" s="172"/>
      <c r="N186" s="172"/>
      <c r="O186" s="178">
        <f t="shared" si="40"/>
        <v>0</v>
      </c>
      <c r="P186" s="92">
        <f t="shared" si="41"/>
        <v>0</v>
      </c>
    </row>
    <row r="187" spans="1:16" ht="18.75" hidden="1" x14ac:dyDescent="0.2">
      <c r="A187" s="42"/>
      <c r="B187" s="168"/>
      <c r="C187" s="169" t="s">
        <v>319</v>
      </c>
      <c r="D187" s="170"/>
      <c r="E187" s="171"/>
      <c r="F187" s="172"/>
      <c r="G187" s="172"/>
      <c r="H187" s="172"/>
      <c r="I187" s="188"/>
      <c r="J187" s="189"/>
      <c r="K187" s="188"/>
      <c r="L187" s="172"/>
      <c r="M187" s="172"/>
      <c r="N187" s="172"/>
      <c r="O187" s="178">
        <f t="shared" si="40"/>
        <v>0</v>
      </c>
      <c r="P187" s="92">
        <f t="shared" si="41"/>
        <v>0</v>
      </c>
    </row>
    <row r="188" spans="1:16" ht="18.75" hidden="1" x14ac:dyDescent="0.2">
      <c r="A188" s="42"/>
      <c r="B188" s="168"/>
      <c r="C188" s="169" t="s">
        <v>466</v>
      </c>
      <c r="D188" s="170"/>
      <c r="E188" s="171"/>
      <c r="F188" s="172"/>
      <c r="G188" s="172"/>
      <c r="H188" s="172"/>
      <c r="I188" s="188"/>
      <c r="J188" s="189"/>
      <c r="K188" s="188"/>
      <c r="L188" s="172"/>
      <c r="M188" s="172"/>
      <c r="N188" s="172"/>
      <c r="O188" s="178">
        <f t="shared" si="40"/>
        <v>0</v>
      </c>
      <c r="P188" s="92">
        <f t="shared" si="41"/>
        <v>0</v>
      </c>
    </row>
    <row r="189" spans="1:16" ht="31.5" hidden="1" x14ac:dyDescent="0.2">
      <c r="A189" s="42"/>
      <c r="B189" s="168" t="s">
        <v>35</v>
      </c>
      <c r="C189" s="169" t="s">
        <v>467</v>
      </c>
      <c r="D189" s="170" t="s">
        <v>36</v>
      </c>
      <c r="E189" s="171"/>
      <c r="F189" s="172"/>
      <c r="G189" s="172"/>
      <c r="H189" s="172"/>
      <c r="I189" s="188"/>
      <c r="J189" s="189"/>
      <c r="K189" s="188"/>
      <c r="L189" s="172"/>
      <c r="M189" s="172"/>
      <c r="N189" s="172"/>
      <c r="O189" s="178">
        <f t="shared" si="40"/>
        <v>0</v>
      </c>
      <c r="P189" s="92">
        <f t="shared" si="41"/>
        <v>0</v>
      </c>
    </row>
    <row r="190" spans="1:16" ht="21.6" customHeight="1" x14ac:dyDescent="0.2">
      <c r="A190" s="49"/>
      <c r="B190" s="190" t="s">
        <v>195</v>
      </c>
      <c r="C190" s="191" t="s">
        <v>196</v>
      </c>
      <c r="D190" s="192" t="s">
        <v>26</v>
      </c>
      <c r="E190" s="193"/>
      <c r="F190" s="194">
        <f t="shared" ref="F190:N190" si="48">F191</f>
        <v>7714.8</v>
      </c>
      <c r="G190" s="194">
        <f t="shared" si="48"/>
        <v>-502.3</v>
      </c>
      <c r="H190" s="194">
        <f t="shared" si="48"/>
        <v>7212.5</v>
      </c>
      <c r="I190" s="195">
        <f t="shared" si="48"/>
        <v>0</v>
      </c>
      <c r="J190" s="194">
        <f t="shared" si="48"/>
        <v>0</v>
      </c>
      <c r="K190" s="195">
        <f t="shared" si="48"/>
        <v>0</v>
      </c>
      <c r="L190" s="194">
        <f t="shared" si="48"/>
        <v>7714.8</v>
      </c>
      <c r="M190" s="194">
        <f t="shared" si="48"/>
        <v>-502.3</v>
      </c>
      <c r="N190" s="194">
        <f t="shared" si="48"/>
        <v>7212.5</v>
      </c>
      <c r="O190" s="178">
        <f t="shared" si="40"/>
        <v>7212.5</v>
      </c>
      <c r="P190" s="92">
        <f t="shared" si="41"/>
        <v>0</v>
      </c>
    </row>
    <row r="191" spans="1:16" ht="31.5" x14ac:dyDescent="0.2">
      <c r="A191" s="42"/>
      <c r="B191" s="168" t="s">
        <v>197</v>
      </c>
      <c r="C191" s="169" t="s">
        <v>198</v>
      </c>
      <c r="D191" s="170" t="s">
        <v>26</v>
      </c>
      <c r="E191" s="171"/>
      <c r="F191" s="172">
        <f>F192+F194</f>
        <v>7714.8</v>
      </c>
      <c r="G191" s="172">
        <f>G192+G194</f>
        <v>-502.3</v>
      </c>
      <c r="H191" s="172">
        <f>H192+H194</f>
        <v>7212.5</v>
      </c>
      <c r="I191" s="188">
        <f>I192+I194</f>
        <v>0</v>
      </c>
      <c r="J191" s="189"/>
      <c r="K191" s="188">
        <f>K192+K194</f>
        <v>0</v>
      </c>
      <c r="L191" s="172">
        <f>L192+L194</f>
        <v>7714.8</v>
      </c>
      <c r="M191" s="172">
        <f>M192+M194</f>
        <v>-502.3</v>
      </c>
      <c r="N191" s="172">
        <f>N192+N194</f>
        <v>7212.5</v>
      </c>
      <c r="O191" s="178">
        <f t="shared" si="40"/>
        <v>7212.5</v>
      </c>
      <c r="P191" s="92">
        <f t="shared" si="41"/>
        <v>0</v>
      </c>
    </row>
    <row r="192" spans="1:16" ht="31.9" customHeight="1" x14ac:dyDescent="0.2">
      <c r="A192" s="42"/>
      <c r="B192" s="168" t="s">
        <v>199</v>
      </c>
      <c r="C192" s="169" t="s">
        <v>200</v>
      </c>
      <c r="D192" s="170" t="s">
        <v>26</v>
      </c>
      <c r="E192" s="171"/>
      <c r="F192" s="172">
        <f>F193</f>
        <v>3111.7</v>
      </c>
      <c r="G192" s="172">
        <f>G193</f>
        <v>0</v>
      </c>
      <c r="H192" s="172">
        <f>H193</f>
        <v>3111.7</v>
      </c>
      <c r="I192" s="188">
        <f>I193</f>
        <v>0</v>
      </c>
      <c r="J192" s="189"/>
      <c r="K192" s="188">
        <f>K193</f>
        <v>0</v>
      </c>
      <c r="L192" s="172">
        <f>L193</f>
        <v>3111.7</v>
      </c>
      <c r="M192" s="172">
        <f>M193</f>
        <v>0</v>
      </c>
      <c r="N192" s="172">
        <f>N193</f>
        <v>3111.7</v>
      </c>
      <c r="O192" s="178">
        <f t="shared" si="40"/>
        <v>3111.7</v>
      </c>
      <c r="P192" s="92">
        <f t="shared" si="41"/>
        <v>0</v>
      </c>
    </row>
    <row r="193" spans="1:16" ht="31.5" x14ac:dyDescent="0.2">
      <c r="A193" s="42"/>
      <c r="B193" s="168" t="s">
        <v>35</v>
      </c>
      <c r="C193" s="169" t="s">
        <v>200</v>
      </c>
      <c r="D193" s="170" t="s">
        <v>36</v>
      </c>
      <c r="E193" s="171"/>
      <c r="F193" s="172">
        <v>3111.7</v>
      </c>
      <c r="G193" s="172"/>
      <c r="H193" s="172">
        <f>SUM(F193:G193)</f>
        <v>3111.7</v>
      </c>
      <c r="I193" s="188">
        <v>0</v>
      </c>
      <c r="J193" s="189"/>
      <c r="K193" s="188">
        <v>0</v>
      </c>
      <c r="L193" s="172">
        <f>F193+I193</f>
        <v>3111.7</v>
      </c>
      <c r="M193" s="172">
        <f>G193+J193</f>
        <v>0</v>
      </c>
      <c r="N193" s="172">
        <f>H193+K193</f>
        <v>3111.7</v>
      </c>
      <c r="O193" s="178">
        <f t="shared" si="40"/>
        <v>3111.7</v>
      </c>
      <c r="P193" s="92">
        <f t="shared" si="41"/>
        <v>0</v>
      </c>
    </row>
    <row r="194" spans="1:16" ht="31.5" x14ac:dyDescent="0.2">
      <c r="A194" s="42"/>
      <c r="B194" s="168" t="s">
        <v>201</v>
      </c>
      <c r="C194" s="169" t="s">
        <v>202</v>
      </c>
      <c r="D194" s="170" t="s">
        <v>26</v>
      </c>
      <c r="E194" s="171"/>
      <c r="F194" s="172">
        <f>F195</f>
        <v>4603.1000000000004</v>
      </c>
      <c r="G194" s="172">
        <f>G195</f>
        <v>-502.3</v>
      </c>
      <c r="H194" s="172">
        <f>H195</f>
        <v>4100.8</v>
      </c>
      <c r="I194" s="188">
        <f>I195</f>
        <v>0</v>
      </c>
      <c r="J194" s="189"/>
      <c r="K194" s="188">
        <f>K195</f>
        <v>0</v>
      </c>
      <c r="L194" s="172">
        <f>L195</f>
        <v>4603.1000000000004</v>
      </c>
      <c r="M194" s="172">
        <f>M195</f>
        <v>-502.3</v>
      </c>
      <c r="N194" s="172">
        <f>N195</f>
        <v>4100.8</v>
      </c>
      <c r="O194" s="178">
        <f t="shared" si="40"/>
        <v>4100.8</v>
      </c>
      <c r="P194" s="92">
        <f t="shared" si="41"/>
        <v>0</v>
      </c>
    </row>
    <row r="195" spans="1:16" ht="31.5" x14ac:dyDescent="0.2">
      <c r="A195" s="42"/>
      <c r="B195" s="168" t="s">
        <v>35</v>
      </c>
      <c r="C195" s="169" t="s">
        <v>202</v>
      </c>
      <c r="D195" s="170" t="s">
        <v>36</v>
      </c>
      <c r="E195" s="171"/>
      <c r="F195" s="172">
        <v>4603.1000000000004</v>
      </c>
      <c r="G195" s="172">
        <v>-502.3</v>
      </c>
      <c r="H195" s="172">
        <f>SUM(F195)+G195</f>
        <v>4100.8</v>
      </c>
      <c r="I195" s="188">
        <v>0</v>
      </c>
      <c r="J195" s="189"/>
      <c r="K195" s="188">
        <v>0</v>
      </c>
      <c r="L195" s="172">
        <f>SUM(F195)</f>
        <v>4603.1000000000004</v>
      </c>
      <c r="M195" s="172">
        <f>SUM(G195)</f>
        <v>-502.3</v>
      </c>
      <c r="N195" s="172">
        <f>SUM(H195)</f>
        <v>4100.8</v>
      </c>
      <c r="O195" s="178">
        <f t="shared" si="40"/>
        <v>4100.8</v>
      </c>
      <c r="P195" s="92">
        <f t="shared" si="41"/>
        <v>0</v>
      </c>
    </row>
    <row r="196" spans="1:16" ht="18.75" x14ac:dyDescent="0.2">
      <c r="A196" s="49"/>
      <c r="B196" s="190" t="s">
        <v>203</v>
      </c>
      <c r="C196" s="191" t="s">
        <v>204</v>
      </c>
      <c r="D196" s="192" t="s">
        <v>26</v>
      </c>
      <c r="E196" s="193"/>
      <c r="F196" s="194">
        <f t="shared" ref="F196:N196" si="49">F197+F200+F212+F207</f>
        <v>143005.6</v>
      </c>
      <c r="G196" s="194">
        <f t="shared" si="49"/>
        <v>567.29999999999995</v>
      </c>
      <c r="H196" s="194">
        <f t="shared" si="49"/>
        <v>143572.9</v>
      </c>
      <c r="I196" s="194">
        <f t="shared" si="49"/>
        <v>0</v>
      </c>
      <c r="J196" s="194">
        <f t="shared" si="49"/>
        <v>72000</v>
      </c>
      <c r="K196" s="194">
        <f t="shared" si="49"/>
        <v>72000</v>
      </c>
      <c r="L196" s="194">
        <f t="shared" si="49"/>
        <v>143005.6</v>
      </c>
      <c r="M196" s="194">
        <f t="shared" si="49"/>
        <v>72567.3</v>
      </c>
      <c r="N196" s="194">
        <f t="shared" si="49"/>
        <v>215572.90000000002</v>
      </c>
      <c r="O196" s="178">
        <f t="shared" si="40"/>
        <v>215572.90000000002</v>
      </c>
      <c r="P196" s="92">
        <f t="shared" si="41"/>
        <v>0</v>
      </c>
    </row>
    <row r="197" spans="1:16" ht="31.5" x14ac:dyDescent="0.2">
      <c r="A197" s="42"/>
      <c r="B197" s="168" t="s">
        <v>205</v>
      </c>
      <c r="C197" s="169" t="s">
        <v>206</v>
      </c>
      <c r="D197" s="170" t="s">
        <v>26</v>
      </c>
      <c r="E197" s="171"/>
      <c r="F197" s="172">
        <f t="shared" ref="F197:N198" si="50">F198</f>
        <v>8699.1</v>
      </c>
      <c r="G197" s="172">
        <f t="shared" si="50"/>
        <v>0</v>
      </c>
      <c r="H197" s="172">
        <f t="shared" si="50"/>
        <v>8699.1</v>
      </c>
      <c r="I197" s="188">
        <f t="shared" si="50"/>
        <v>0</v>
      </c>
      <c r="J197" s="189"/>
      <c r="K197" s="188">
        <f t="shared" si="50"/>
        <v>0</v>
      </c>
      <c r="L197" s="172">
        <f t="shared" si="50"/>
        <v>8699.1</v>
      </c>
      <c r="M197" s="172">
        <f t="shared" si="50"/>
        <v>0</v>
      </c>
      <c r="N197" s="172">
        <f t="shared" si="50"/>
        <v>8699.1</v>
      </c>
      <c r="O197" s="178">
        <f t="shared" si="40"/>
        <v>8699.1</v>
      </c>
      <c r="P197" s="92">
        <f t="shared" si="41"/>
        <v>0</v>
      </c>
    </row>
    <row r="198" spans="1:16" ht="31.5" x14ac:dyDescent="0.2">
      <c r="A198" s="42"/>
      <c r="B198" s="168" t="s">
        <v>39</v>
      </c>
      <c r="C198" s="169" t="s">
        <v>207</v>
      </c>
      <c r="D198" s="170" t="s">
        <v>26</v>
      </c>
      <c r="E198" s="171"/>
      <c r="F198" s="172">
        <f t="shared" si="50"/>
        <v>8699.1</v>
      </c>
      <c r="G198" s="172">
        <f t="shared" si="50"/>
        <v>0</v>
      </c>
      <c r="H198" s="172">
        <f t="shared" si="50"/>
        <v>8699.1</v>
      </c>
      <c r="I198" s="188">
        <f t="shared" si="50"/>
        <v>0</v>
      </c>
      <c r="J198" s="189"/>
      <c r="K198" s="188">
        <f t="shared" si="50"/>
        <v>0</v>
      </c>
      <c r="L198" s="172">
        <f t="shared" si="50"/>
        <v>8699.1</v>
      </c>
      <c r="M198" s="172">
        <f t="shared" si="50"/>
        <v>0</v>
      </c>
      <c r="N198" s="172">
        <f t="shared" si="50"/>
        <v>8699.1</v>
      </c>
      <c r="O198" s="178">
        <f t="shared" si="40"/>
        <v>8699.1</v>
      </c>
      <c r="P198" s="92">
        <f t="shared" si="41"/>
        <v>0</v>
      </c>
    </row>
    <row r="199" spans="1:16" ht="31.5" x14ac:dyDescent="0.2">
      <c r="A199" s="42"/>
      <c r="B199" s="168" t="s">
        <v>74</v>
      </c>
      <c r="C199" s="169" t="s">
        <v>207</v>
      </c>
      <c r="D199" s="170" t="s">
        <v>75</v>
      </c>
      <c r="E199" s="171"/>
      <c r="F199" s="172">
        <v>8699.1</v>
      </c>
      <c r="G199" s="172"/>
      <c r="H199" s="172">
        <f>SUM(F199)</f>
        <v>8699.1</v>
      </c>
      <c r="I199" s="188">
        <v>0</v>
      </c>
      <c r="J199" s="189"/>
      <c r="K199" s="188">
        <v>0</v>
      </c>
      <c r="L199" s="172">
        <f>SUM(F199)</f>
        <v>8699.1</v>
      </c>
      <c r="M199" s="172">
        <f>SUM(G199)</f>
        <v>0</v>
      </c>
      <c r="N199" s="172">
        <f>SUM(L199)</f>
        <v>8699.1</v>
      </c>
      <c r="O199" s="178">
        <f t="shared" si="40"/>
        <v>8699.1</v>
      </c>
      <c r="P199" s="92">
        <f t="shared" si="41"/>
        <v>0</v>
      </c>
    </row>
    <row r="200" spans="1:16" ht="36" customHeight="1" x14ac:dyDescent="0.2">
      <c r="A200" s="42"/>
      <c r="B200" s="168" t="s">
        <v>208</v>
      </c>
      <c r="C200" s="169" t="s">
        <v>209</v>
      </c>
      <c r="D200" s="170" t="s">
        <v>26</v>
      </c>
      <c r="E200" s="171"/>
      <c r="F200" s="172">
        <f>F201+F203+F205</f>
        <v>121024.8</v>
      </c>
      <c r="G200" s="172">
        <f>SUM(G205)+G201+G203</f>
        <v>0</v>
      </c>
      <c r="H200" s="172">
        <f>H201+H203+H205</f>
        <v>121024.8</v>
      </c>
      <c r="I200" s="188">
        <f t="shared" ref="F200:N201" si="51">I201</f>
        <v>0</v>
      </c>
      <c r="J200" s="189"/>
      <c r="K200" s="188">
        <f t="shared" si="51"/>
        <v>0</v>
      </c>
      <c r="L200" s="172">
        <f>L201+L203+L205</f>
        <v>121024.8</v>
      </c>
      <c r="M200" s="172">
        <f>SUM(M205)+M201+M203</f>
        <v>0</v>
      </c>
      <c r="N200" s="172">
        <f>N201+N203+N205</f>
        <v>121024.8</v>
      </c>
      <c r="O200" s="178">
        <f t="shared" si="40"/>
        <v>121024.8</v>
      </c>
      <c r="P200" s="92">
        <f t="shared" si="41"/>
        <v>0</v>
      </c>
    </row>
    <row r="201" spans="1:16" ht="31.5" x14ac:dyDescent="0.2">
      <c r="A201" s="42"/>
      <c r="B201" s="168" t="s">
        <v>39</v>
      </c>
      <c r="C201" s="169" t="s">
        <v>210</v>
      </c>
      <c r="D201" s="170" t="s">
        <v>26</v>
      </c>
      <c r="E201" s="171"/>
      <c r="F201" s="172">
        <f t="shared" si="51"/>
        <v>117945.8</v>
      </c>
      <c r="G201" s="172">
        <f t="shared" si="51"/>
        <v>0</v>
      </c>
      <c r="H201" s="172">
        <f t="shared" si="51"/>
        <v>117945.8</v>
      </c>
      <c r="I201" s="188">
        <f t="shared" si="51"/>
        <v>0</v>
      </c>
      <c r="J201" s="189"/>
      <c r="K201" s="188">
        <f t="shared" si="51"/>
        <v>0</v>
      </c>
      <c r="L201" s="172">
        <f t="shared" si="51"/>
        <v>117945.8</v>
      </c>
      <c r="M201" s="172">
        <f t="shared" si="51"/>
        <v>0</v>
      </c>
      <c r="N201" s="172">
        <f t="shared" si="51"/>
        <v>117945.8</v>
      </c>
      <c r="O201" s="178">
        <f t="shared" si="40"/>
        <v>117945.8</v>
      </c>
      <c r="P201" s="92">
        <f t="shared" si="41"/>
        <v>0</v>
      </c>
    </row>
    <row r="202" spans="1:16" ht="30.75" customHeight="1" x14ac:dyDescent="0.2">
      <c r="A202" s="42"/>
      <c r="B202" s="168" t="s">
        <v>74</v>
      </c>
      <c r="C202" s="169" t="s">
        <v>210</v>
      </c>
      <c r="D202" s="170" t="s">
        <v>75</v>
      </c>
      <c r="E202" s="171"/>
      <c r="F202" s="172">
        <v>117945.8</v>
      </c>
      <c r="G202" s="172"/>
      <c r="H202" s="172">
        <f>SUM(F202+G202)</f>
        <v>117945.8</v>
      </c>
      <c r="I202" s="188">
        <v>0</v>
      </c>
      <c r="J202" s="189"/>
      <c r="K202" s="188">
        <v>0</v>
      </c>
      <c r="L202" s="172">
        <f>SUM(F201)</f>
        <v>117945.8</v>
      </c>
      <c r="M202" s="172">
        <f>SUM(G202)</f>
        <v>0</v>
      </c>
      <c r="N202" s="172">
        <f>SUM(H202)</f>
        <v>117945.8</v>
      </c>
      <c r="O202" s="178">
        <f t="shared" si="40"/>
        <v>117945.8</v>
      </c>
      <c r="P202" s="92">
        <f t="shared" si="41"/>
        <v>0</v>
      </c>
    </row>
    <row r="203" spans="1:16" ht="31.5" customHeight="1" x14ac:dyDescent="0.2">
      <c r="A203" s="42"/>
      <c r="B203" s="168" t="s">
        <v>211</v>
      </c>
      <c r="C203" s="169" t="s">
        <v>212</v>
      </c>
      <c r="D203" s="170"/>
      <c r="E203" s="171"/>
      <c r="F203" s="172">
        <v>779</v>
      </c>
      <c r="G203" s="172"/>
      <c r="H203" s="172">
        <f>SUM(F203)</f>
        <v>779</v>
      </c>
      <c r="I203" s="188"/>
      <c r="J203" s="189"/>
      <c r="K203" s="188"/>
      <c r="L203" s="172">
        <f>SUM(F204)</f>
        <v>779</v>
      </c>
      <c r="M203" s="172">
        <f>SUM(G203)</f>
        <v>0</v>
      </c>
      <c r="N203" s="172">
        <f>SUM(L203)</f>
        <v>779</v>
      </c>
      <c r="O203" s="178">
        <f t="shared" si="40"/>
        <v>779</v>
      </c>
      <c r="P203" s="92">
        <f t="shared" si="41"/>
        <v>0</v>
      </c>
    </row>
    <row r="204" spans="1:16" ht="33.75" customHeight="1" x14ac:dyDescent="0.2">
      <c r="A204" s="42"/>
      <c r="B204" s="168" t="s">
        <v>74</v>
      </c>
      <c r="C204" s="169" t="s">
        <v>212</v>
      </c>
      <c r="D204" s="170" t="s">
        <v>75</v>
      </c>
      <c r="E204" s="171"/>
      <c r="F204" s="172">
        <v>779</v>
      </c>
      <c r="G204" s="172"/>
      <c r="H204" s="172">
        <f>SUM(F204)</f>
        <v>779</v>
      </c>
      <c r="I204" s="188"/>
      <c r="J204" s="189"/>
      <c r="K204" s="188"/>
      <c r="L204" s="172">
        <f t="shared" ref="L204:N214" si="52">SUM(F204)</f>
        <v>779</v>
      </c>
      <c r="M204" s="172">
        <f>SUM(G204)</f>
        <v>0</v>
      </c>
      <c r="N204" s="172">
        <f>SUM(L204)</f>
        <v>779</v>
      </c>
      <c r="O204" s="178">
        <f t="shared" si="40"/>
        <v>779</v>
      </c>
      <c r="P204" s="92">
        <f t="shared" si="41"/>
        <v>0</v>
      </c>
    </row>
    <row r="205" spans="1:16" ht="31.5" customHeight="1" x14ac:dyDescent="0.2">
      <c r="A205" s="42"/>
      <c r="B205" s="203" t="s">
        <v>78</v>
      </c>
      <c r="C205" s="169" t="s">
        <v>213</v>
      </c>
      <c r="D205" s="170"/>
      <c r="E205" s="171"/>
      <c r="F205" s="172">
        <v>2300</v>
      </c>
      <c r="G205" s="172">
        <f>SUM(G206)</f>
        <v>0</v>
      </c>
      <c r="H205" s="172">
        <f>SUM(H206)</f>
        <v>2300</v>
      </c>
      <c r="I205" s="188"/>
      <c r="J205" s="189"/>
      <c r="K205" s="188"/>
      <c r="L205" s="172">
        <f t="shared" si="52"/>
        <v>2300</v>
      </c>
      <c r="M205" s="172">
        <f t="shared" si="52"/>
        <v>0</v>
      </c>
      <c r="N205" s="172">
        <f t="shared" si="52"/>
        <v>2300</v>
      </c>
      <c r="O205" s="178">
        <f t="shared" si="40"/>
        <v>2300</v>
      </c>
      <c r="P205" s="92">
        <f t="shared" si="41"/>
        <v>0</v>
      </c>
    </row>
    <row r="206" spans="1:16" ht="31.5" customHeight="1" x14ac:dyDescent="0.2">
      <c r="A206" s="42"/>
      <c r="B206" s="168" t="s">
        <v>74</v>
      </c>
      <c r="C206" s="169" t="s">
        <v>213</v>
      </c>
      <c r="D206" s="170" t="s">
        <v>75</v>
      </c>
      <c r="E206" s="171"/>
      <c r="F206" s="172">
        <v>2300</v>
      </c>
      <c r="G206" s="172"/>
      <c r="H206" s="172">
        <f>SUM(F206)</f>
        <v>2300</v>
      </c>
      <c r="I206" s="188"/>
      <c r="J206" s="189"/>
      <c r="K206" s="188"/>
      <c r="L206" s="172">
        <f t="shared" si="52"/>
        <v>2300</v>
      </c>
      <c r="M206" s="172">
        <f t="shared" si="52"/>
        <v>0</v>
      </c>
      <c r="N206" s="172">
        <f t="shared" si="52"/>
        <v>2300</v>
      </c>
      <c r="O206" s="178">
        <f t="shared" si="40"/>
        <v>2300</v>
      </c>
      <c r="P206" s="92">
        <f t="shared" si="41"/>
        <v>0</v>
      </c>
    </row>
    <row r="207" spans="1:16" ht="57" customHeight="1" x14ac:dyDescent="0.2">
      <c r="A207" s="42"/>
      <c r="B207" s="198" t="s">
        <v>471</v>
      </c>
      <c r="C207" s="169" t="s">
        <v>469</v>
      </c>
      <c r="D207" s="170"/>
      <c r="E207" s="171"/>
      <c r="F207" s="172">
        <f>SUM(F208)</f>
        <v>3350</v>
      </c>
      <c r="G207" s="172">
        <f>SUM(G208)+G210</f>
        <v>567.29999999999995</v>
      </c>
      <c r="H207" s="172">
        <f>SUM(H208)+G207</f>
        <v>3917.3</v>
      </c>
      <c r="I207" s="188"/>
      <c r="J207" s="172">
        <f>SUM(J208)+J210</f>
        <v>72000</v>
      </c>
      <c r="K207" s="172">
        <f>SUM(K208)+K210</f>
        <v>72000</v>
      </c>
      <c r="L207" s="172">
        <f t="shared" si="52"/>
        <v>3350</v>
      </c>
      <c r="M207" s="172">
        <f>SUM(G207)+J207</f>
        <v>72567.3</v>
      </c>
      <c r="N207" s="172">
        <f>SUM(H207)+K207</f>
        <v>75917.3</v>
      </c>
      <c r="O207" s="178">
        <f t="shared" si="40"/>
        <v>75917.3</v>
      </c>
      <c r="P207" s="92">
        <f t="shared" si="41"/>
        <v>0</v>
      </c>
    </row>
    <row r="208" spans="1:16" ht="52.9" customHeight="1" x14ac:dyDescent="0.2">
      <c r="A208" s="42"/>
      <c r="B208" s="158" t="s">
        <v>480</v>
      </c>
      <c r="C208" s="169" t="s">
        <v>470</v>
      </c>
      <c r="D208" s="170"/>
      <c r="E208" s="171"/>
      <c r="F208" s="172">
        <f>SUM(F209)</f>
        <v>3350</v>
      </c>
      <c r="G208" s="172">
        <f>SUM(G209)</f>
        <v>0</v>
      </c>
      <c r="H208" s="172">
        <f>SUM(F208)+G208</f>
        <v>3350</v>
      </c>
      <c r="I208" s="188"/>
      <c r="J208" s="189"/>
      <c r="K208" s="188"/>
      <c r="L208" s="172">
        <f t="shared" si="52"/>
        <v>3350</v>
      </c>
      <c r="M208" s="172">
        <f t="shared" si="52"/>
        <v>0</v>
      </c>
      <c r="N208" s="172">
        <f t="shared" si="52"/>
        <v>3350</v>
      </c>
      <c r="O208" s="178">
        <f t="shared" si="40"/>
        <v>3350</v>
      </c>
      <c r="P208" s="92">
        <f t="shared" si="41"/>
        <v>0</v>
      </c>
    </row>
    <row r="209" spans="1:17" ht="31.5" customHeight="1" x14ac:dyDescent="0.2">
      <c r="A209" s="42"/>
      <c r="B209" s="168" t="s">
        <v>41</v>
      </c>
      <c r="C209" s="169" t="s">
        <v>470</v>
      </c>
      <c r="D209" s="170" t="s">
        <v>42</v>
      </c>
      <c r="E209" s="171"/>
      <c r="F209" s="172">
        <v>3350</v>
      </c>
      <c r="G209" s="172"/>
      <c r="H209" s="172">
        <f>SUM(F209)+G209</f>
        <v>3350</v>
      </c>
      <c r="I209" s="188"/>
      <c r="J209" s="189"/>
      <c r="K209" s="188"/>
      <c r="L209" s="172">
        <f t="shared" si="52"/>
        <v>3350</v>
      </c>
      <c r="M209" s="172">
        <f t="shared" si="52"/>
        <v>0</v>
      </c>
      <c r="N209" s="172">
        <f t="shared" si="52"/>
        <v>3350</v>
      </c>
      <c r="O209" s="178">
        <f t="shared" si="40"/>
        <v>3350</v>
      </c>
      <c r="P209" s="92">
        <f t="shared" si="41"/>
        <v>0</v>
      </c>
    </row>
    <row r="210" spans="1:17" ht="123" customHeight="1" x14ac:dyDescent="0.2">
      <c r="A210" s="42"/>
      <c r="B210" s="288" t="s">
        <v>506</v>
      </c>
      <c r="C210" s="169" t="s">
        <v>500</v>
      </c>
      <c r="D210" s="170"/>
      <c r="E210" s="171"/>
      <c r="F210" s="172"/>
      <c r="G210" s="172">
        <v>567.29999999999995</v>
      </c>
      <c r="H210" s="172">
        <f>SUM(G210)</f>
        <v>567.29999999999995</v>
      </c>
      <c r="I210" s="188"/>
      <c r="J210" s="189">
        <v>72000</v>
      </c>
      <c r="K210" s="188">
        <f>SUM(J210)</f>
        <v>72000</v>
      </c>
      <c r="L210" s="172"/>
      <c r="M210" s="172">
        <f>SUM(G210+J210)</f>
        <v>72567.3</v>
      </c>
      <c r="N210" s="172">
        <f>SUM(M210)</f>
        <v>72567.3</v>
      </c>
      <c r="O210" s="178"/>
      <c r="P210" s="92"/>
    </row>
    <row r="211" spans="1:17" ht="31.5" customHeight="1" x14ac:dyDescent="0.2">
      <c r="A211" s="42"/>
      <c r="B211" s="168" t="s">
        <v>41</v>
      </c>
      <c r="C211" s="169" t="s">
        <v>500</v>
      </c>
      <c r="D211" s="170" t="s">
        <v>42</v>
      </c>
      <c r="E211" s="171"/>
      <c r="F211" s="172"/>
      <c r="G211" s="172">
        <v>567.29999999999995</v>
      </c>
      <c r="H211" s="172">
        <f>SUM(G211)</f>
        <v>567.29999999999995</v>
      </c>
      <c r="I211" s="188"/>
      <c r="J211" s="189">
        <v>72000</v>
      </c>
      <c r="K211" s="188">
        <f>SUM(J211)</f>
        <v>72000</v>
      </c>
      <c r="L211" s="172"/>
      <c r="M211" s="172">
        <f>SUM(G211+J211)</f>
        <v>72567.3</v>
      </c>
      <c r="N211" s="172">
        <f>SUM(M211)</f>
        <v>72567.3</v>
      </c>
      <c r="O211" s="178"/>
      <c r="P211" s="92"/>
    </row>
    <row r="212" spans="1:17" ht="49.5" customHeight="1" x14ac:dyDescent="0.2">
      <c r="A212" s="42"/>
      <c r="B212" s="204" t="s">
        <v>214</v>
      </c>
      <c r="C212" s="169" t="s">
        <v>215</v>
      </c>
      <c r="D212" s="170"/>
      <c r="E212" s="171"/>
      <c r="F212" s="172">
        <f>SUM(F213)</f>
        <v>9931.7000000000007</v>
      </c>
      <c r="G212" s="172">
        <f>SUM(G213)</f>
        <v>0</v>
      </c>
      <c r="H212" s="172">
        <f>SUM(F212)+G212</f>
        <v>9931.7000000000007</v>
      </c>
      <c r="I212" s="188"/>
      <c r="J212" s="189"/>
      <c r="K212" s="188"/>
      <c r="L212" s="172">
        <f t="shared" si="52"/>
        <v>9931.7000000000007</v>
      </c>
      <c r="M212" s="172">
        <f t="shared" si="52"/>
        <v>0</v>
      </c>
      <c r="N212" s="172">
        <f t="shared" si="52"/>
        <v>9931.7000000000007</v>
      </c>
      <c r="O212" s="178">
        <f t="shared" si="40"/>
        <v>9931.7000000000007</v>
      </c>
      <c r="P212" s="92">
        <f t="shared" si="41"/>
        <v>0</v>
      </c>
    </row>
    <row r="213" spans="1:17" ht="63" x14ac:dyDescent="0.2">
      <c r="A213" s="42"/>
      <c r="B213" s="205" t="s">
        <v>216</v>
      </c>
      <c r="C213" s="169" t="s">
        <v>217</v>
      </c>
      <c r="D213" s="170"/>
      <c r="E213" s="171"/>
      <c r="F213" s="172">
        <v>9931.7000000000007</v>
      </c>
      <c r="G213" s="172">
        <f>SUM(G214)</f>
        <v>0</v>
      </c>
      <c r="H213" s="172">
        <f>SUM(F213)+G213</f>
        <v>9931.7000000000007</v>
      </c>
      <c r="I213" s="188"/>
      <c r="J213" s="189"/>
      <c r="K213" s="188"/>
      <c r="L213" s="172">
        <f t="shared" si="52"/>
        <v>9931.7000000000007</v>
      </c>
      <c r="M213" s="172">
        <f t="shared" si="52"/>
        <v>0</v>
      </c>
      <c r="N213" s="172">
        <f t="shared" si="52"/>
        <v>9931.7000000000007</v>
      </c>
      <c r="O213" s="178">
        <f t="shared" si="40"/>
        <v>9931.7000000000007</v>
      </c>
      <c r="P213" s="92">
        <f t="shared" si="41"/>
        <v>0</v>
      </c>
    </row>
    <row r="214" spans="1:17" ht="18.75" x14ac:dyDescent="0.2">
      <c r="A214" s="42"/>
      <c r="B214" s="168" t="s">
        <v>41</v>
      </c>
      <c r="C214" s="169" t="s">
        <v>217</v>
      </c>
      <c r="D214" s="170" t="s">
        <v>42</v>
      </c>
      <c r="E214" s="171"/>
      <c r="F214" s="172">
        <v>9931.7000000000007</v>
      </c>
      <c r="G214" s="172"/>
      <c r="H214" s="172">
        <f>SUM(F214)+G214</f>
        <v>9931.7000000000007</v>
      </c>
      <c r="I214" s="188"/>
      <c r="J214" s="189"/>
      <c r="K214" s="188"/>
      <c r="L214" s="172">
        <f t="shared" si="52"/>
        <v>9931.7000000000007</v>
      </c>
      <c r="M214" s="172">
        <f t="shared" si="52"/>
        <v>0</v>
      </c>
      <c r="N214" s="172">
        <f t="shared" si="52"/>
        <v>9931.7000000000007</v>
      </c>
      <c r="O214" s="178">
        <f t="shared" si="40"/>
        <v>9931.7000000000007</v>
      </c>
      <c r="P214" s="92">
        <f t="shared" si="41"/>
        <v>0</v>
      </c>
    </row>
    <row r="215" spans="1:17" ht="29.25" customHeight="1" x14ac:dyDescent="0.2">
      <c r="A215" s="19" t="s">
        <v>218</v>
      </c>
      <c r="B215" s="182" t="s">
        <v>219</v>
      </c>
      <c r="C215" s="183" t="s">
        <v>220</v>
      </c>
      <c r="D215" s="184" t="s">
        <v>26</v>
      </c>
      <c r="E215" s="185"/>
      <c r="F215" s="186">
        <f>F226+F231+F240+F244+F220</f>
        <v>20171.5</v>
      </c>
      <c r="G215" s="186">
        <f>SUM(G221)+G240+G231+G244</f>
        <v>0</v>
      </c>
      <c r="H215" s="186">
        <f>H226+H231+H240+H244+H220+H216</f>
        <v>20171.5</v>
      </c>
      <c r="I215" s="187">
        <f>I226+I231+I240+I244+I220</f>
        <v>151494</v>
      </c>
      <c r="J215" s="186">
        <f>J226+J231+J240+J244+J220</f>
        <v>0</v>
      </c>
      <c r="K215" s="187">
        <f>K226+K231+K240+K244+K220</f>
        <v>151494</v>
      </c>
      <c r="L215" s="186">
        <f>SUM(F215+I215)</f>
        <v>171665.5</v>
      </c>
      <c r="M215" s="186">
        <f>SUM(G215+J215)</f>
        <v>0</v>
      </c>
      <c r="N215" s="186">
        <f>SUM(H215+K215)</f>
        <v>171665.5</v>
      </c>
      <c r="O215" s="178">
        <f t="shared" ref="O215:O278" si="53">L215+M215</f>
        <v>171665.5</v>
      </c>
      <c r="P215" s="92">
        <f t="shared" ref="P215:P278" si="54">O215-N215</f>
        <v>0</v>
      </c>
      <c r="Q215" s="25"/>
    </row>
    <row r="216" spans="1:17" ht="18.75" hidden="1" x14ac:dyDescent="0.2">
      <c r="A216" s="19"/>
      <c r="B216" s="190" t="s">
        <v>177</v>
      </c>
      <c r="C216" s="169"/>
      <c r="D216" s="184"/>
      <c r="E216" s="185"/>
      <c r="F216" s="186"/>
      <c r="G216" s="172"/>
      <c r="H216" s="186">
        <f>SUM(G216)</f>
        <v>0</v>
      </c>
      <c r="I216" s="187"/>
      <c r="J216" s="172">
        <f>SUM(J217)</f>
        <v>0</v>
      </c>
      <c r="K216" s="187">
        <f t="shared" ref="K216:K223" si="55">SUM(J216)</f>
        <v>0</v>
      </c>
      <c r="L216" s="186"/>
      <c r="M216" s="186">
        <f>SUM(G216+J216)</f>
        <v>0</v>
      </c>
      <c r="N216" s="186">
        <f>SUM(H216+K216)</f>
        <v>0</v>
      </c>
      <c r="O216" s="178">
        <f t="shared" si="53"/>
        <v>0</v>
      </c>
      <c r="P216" s="92">
        <f t="shared" si="54"/>
        <v>0</v>
      </c>
      <c r="Q216" s="25"/>
    </row>
    <row r="217" spans="1:17" ht="47.25" hidden="1" x14ac:dyDescent="0.2">
      <c r="A217" s="19"/>
      <c r="B217" s="168" t="s">
        <v>179</v>
      </c>
      <c r="C217" s="169" t="s">
        <v>451</v>
      </c>
      <c r="D217" s="184" t="s">
        <v>26</v>
      </c>
      <c r="E217" s="185"/>
      <c r="F217" s="186"/>
      <c r="G217" s="172"/>
      <c r="H217" s="186">
        <f>SUM(G217)</f>
        <v>0</v>
      </c>
      <c r="I217" s="187"/>
      <c r="J217" s="172">
        <f>SUM(J218)</f>
        <v>0</v>
      </c>
      <c r="K217" s="187">
        <f t="shared" si="55"/>
        <v>0</v>
      </c>
      <c r="L217" s="186"/>
      <c r="M217" s="186">
        <f>SUM(J217)+G217</f>
        <v>0</v>
      </c>
      <c r="N217" s="186">
        <f>SUM(M217)</f>
        <v>0</v>
      </c>
      <c r="O217" s="178">
        <f t="shared" si="53"/>
        <v>0</v>
      </c>
      <c r="P217" s="92">
        <f t="shared" si="54"/>
        <v>0</v>
      </c>
      <c r="Q217" s="25"/>
    </row>
    <row r="218" spans="1:17" ht="31.5" hidden="1" x14ac:dyDescent="0.2">
      <c r="A218" s="19"/>
      <c r="B218" s="168" t="s">
        <v>193</v>
      </c>
      <c r="C218" s="169" t="s">
        <v>451</v>
      </c>
      <c r="D218" s="184"/>
      <c r="E218" s="185"/>
      <c r="F218" s="169"/>
      <c r="G218" s="172"/>
      <c r="H218" s="186">
        <f>SUM(G218)</f>
        <v>0</v>
      </c>
      <c r="I218" s="187"/>
      <c r="J218" s="172">
        <f>SUM(J219)</f>
        <v>0</v>
      </c>
      <c r="K218" s="187">
        <f t="shared" si="55"/>
        <v>0</v>
      </c>
      <c r="L218" s="186"/>
      <c r="M218" s="186">
        <f>SUM(J218)+G218</f>
        <v>0</v>
      </c>
      <c r="N218" s="186">
        <f>SUM(M218)</f>
        <v>0</v>
      </c>
      <c r="O218" s="178">
        <f t="shared" si="53"/>
        <v>0</v>
      </c>
      <c r="P218" s="92">
        <f t="shared" si="54"/>
        <v>0</v>
      </c>
      <c r="Q218" s="25"/>
    </row>
    <row r="219" spans="1:17" ht="31.5" hidden="1" x14ac:dyDescent="0.2">
      <c r="A219" s="19"/>
      <c r="B219" s="168" t="s">
        <v>35</v>
      </c>
      <c r="C219" s="169" t="s">
        <v>451</v>
      </c>
      <c r="D219" s="170" t="s">
        <v>36</v>
      </c>
      <c r="E219" s="185"/>
      <c r="F219" s="186"/>
      <c r="G219" s="172"/>
      <c r="H219" s="186">
        <f>SUM(G219)</f>
        <v>0</v>
      </c>
      <c r="I219" s="187"/>
      <c r="J219" s="172"/>
      <c r="K219" s="187">
        <f t="shared" si="55"/>
        <v>0</v>
      </c>
      <c r="L219" s="186"/>
      <c r="M219" s="186">
        <f>SUM(J219)+G219</f>
        <v>0</v>
      </c>
      <c r="N219" s="186">
        <f>SUM(M219)</f>
        <v>0</v>
      </c>
      <c r="O219" s="178">
        <f t="shared" si="53"/>
        <v>0</v>
      </c>
      <c r="P219" s="92">
        <f t="shared" si="54"/>
        <v>0</v>
      </c>
      <c r="Q219" s="25"/>
    </row>
    <row r="220" spans="1:17" ht="18.75" x14ac:dyDescent="0.2">
      <c r="A220" s="19"/>
      <c r="B220" s="190" t="s">
        <v>221</v>
      </c>
      <c r="C220" s="191" t="s">
        <v>222</v>
      </c>
      <c r="D220" s="192"/>
      <c r="E220" s="193"/>
      <c r="F220" s="172">
        <f>F221</f>
        <v>3623</v>
      </c>
      <c r="G220" s="172">
        <f>SUM(G221)</f>
        <v>0</v>
      </c>
      <c r="H220" s="172">
        <f t="shared" ref="H220:H225" si="56">SUM(F220)+G220</f>
        <v>3623</v>
      </c>
      <c r="I220" s="172">
        <f>SUM(I221)</f>
        <v>3300</v>
      </c>
      <c r="J220" s="172">
        <f>SUM(J221)</f>
        <v>0</v>
      </c>
      <c r="K220" s="172">
        <f>SUM(K221)</f>
        <v>3300</v>
      </c>
      <c r="L220" s="172">
        <f>SUM(F220)+I220</f>
        <v>6923</v>
      </c>
      <c r="M220" s="194">
        <f>SUM(M221)</f>
        <v>0</v>
      </c>
      <c r="N220" s="194">
        <f>SUM(L220+M220)</f>
        <v>6923</v>
      </c>
      <c r="O220" s="178">
        <f t="shared" si="53"/>
        <v>6923</v>
      </c>
      <c r="P220" s="92">
        <f t="shared" si="54"/>
        <v>0</v>
      </c>
      <c r="Q220" s="25"/>
    </row>
    <row r="221" spans="1:17" ht="19.149999999999999" customHeight="1" x14ac:dyDescent="0.2">
      <c r="A221" s="19"/>
      <c r="B221" s="168" t="s">
        <v>223</v>
      </c>
      <c r="C221" s="169" t="s">
        <v>224</v>
      </c>
      <c r="D221" s="170"/>
      <c r="E221" s="171"/>
      <c r="F221" s="172">
        <f>F222+F224</f>
        <v>3623</v>
      </c>
      <c r="G221" s="172">
        <f>SUM(G222)+G224</f>
        <v>0</v>
      </c>
      <c r="H221" s="172">
        <f t="shared" si="56"/>
        <v>3623</v>
      </c>
      <c r="I221" s="172">
        <f>SUM(I222)+I224</f>
        <v>3300</v>
      </c>
      <c r="J221" s="172"/>
      <c r="K221" s="172">
        <f>SUM(K222)+K224</f>
        <v>3300</v>
      </c>
      <c r="L221" s="172">
        <f>SUM(F221)+I221</f>
        <v>6923</v>
      </c>
      <c r="M221" s="172">
        <f>SUM(G221+J221)</f>
        <v>0</v>
      </c>
      <c r="N221" s="172">
        <f>SUM(L221+M221)</f>
        <v>6923</v>
      </c>
      <c r="O221" s="178">
        <f t="shared" si="53"/>
        <v>6923</v>
      </c>
      <c r="P221" s="92">
        <f t="shared" si="54"/>
        <v>0</v>
      </c>
      <c r="Q221" s="25"/>
    </row>
    <row r="222" spans="1:17" ht="18.75" x14ac:dyDescent="0.2">
      <c r="A222" s="19"/>
      <c r="B222" s="168" t="s">
        <v>67</v>
      </c>
      <c r="C222" s="169" t="s">
        <v>225</v>
      </c>
      <c r="D222" s="170"/>
      <c r="E222" s="171"/>
      <c r="F222" s="172">
        <f>F223</f>
        <v>2059</v>
      </c>
      <c r="G222" s="172">
        <f>SUM(G223)</f>
        <v>0</v>
      </c>
      <c r="H222" s="172">
        <f t="shared" si="56"/>
        <v>2059</v>
      </c>
      <c r="I222" s="188"/>
      <c r="J222" s="172">
        <f>SUM(J223)</f>
        <v>0</v>
      </c>
      <c r="K222" s="188">
        <f t="shared" si="55"/>
        <v>0</v>
      </c>
      <c r="L222" s="172">
        <f>SUM(F222)</f>
        <v>2059</v>
      </c>
      <c r="M222" s="172">
        <f>SUM(M223)</f>
        <v>0</v>
      </c>
      <c r="N222" s="172">
        <f>SUM(L222+M222)</f>
        <v>2059</v>
      </c>
      <c r="O222" s="178">
        <f t="shared" si="53"/>
        <v>2059</v>
      </c>
      <c r="P222" s="92">
        <f t="shared" si="54"/>
        <v>0</v>
      </c>
      <c r="Q222" s="25"/>
    </row>
    <row r="223" spans="1:17" ht="31.5" x14ac:dyDescent="0.2">
      <c r="A223" s="19"/>
      <c r="B223" s="168" t="s">
        <v>35</v>
      </c>
      <c r="C223" s="169" t="s">
        <v>225</v>
      </c>
      <c r="D223" s="170" t="s">
        <v>36</v>
      </c>
      <c r="E223" s="171"/>
      <c r="F223" s="172">
        <v>2059</v>
      </c>
      <c r="G223" s="172"/>
      <c r="H223" s="172">
        <f t="shared" si="56"/>
        <v>2059</v>
      </c>
      <c r="I223" s="188"/>
      <c r="J223" s="189"/>
      <c r="K223" s="188">
        <f t="shared" si="55"/>
        <v>0</v>
      </c>
      <c r="L223" s="172">
        <f>SUM(F223)</f>
        <v>2059</v>
      </c>
      <c r="M223" s="172">
        <f>SUM(G223)+J223</f>
        <v>0</v>
      </c>
      <c r="N223" s="172">
        <f>SUM(H223+K223)</f>
        <v>2059</v>
      </c>
      <c r="O223" s="178">
        <f t="shared" si="53"/>
        <v>2059</v>
      </c>
      <c r="P223" s="92">
        <f t="shared" si="54"/>
        <v>0</v>
      </c>
      <c r="Q223" s="25"/>
    </row>
    <row r="224" spans="1:17" ht="31.5" x14ac:dyDescent="0.2">
      <c r="A224" s="19"/>
      <c r="B224" s="168" t="s">
        <v>193</v>
      </c>
      <c r="C224" s="169" t="s">
        <v>451</v>
      </c>
      <c r="D224" s="170"/>
      <c r="E224" s="171"/>
      <c r="F224" s="172">
        <f>F225</f>
        <v>1564</v>
      </c>
      <c r="G224" s="172">
        <f>SUM(G225)</f>
        <v>0</v>
      </c>
      <c r="H224" s="172">
        <f t="shared" si="56"/>
        <v>1564</v>
      </c>
      <c r="I224" s="188">
        <v>3300</v>
      </c>
      <c r="J224" s="189"/>
      <c r="K224" s="188">
        <f>SUM(I224)</f>
        <v>3300</v>
      </c>
      <c r="L224" s="172">
        <f>SUM(F224+I224)</f>
        <v>4864</v>
      </c>
      <c r="M224" s="172">
        <f>SUM(G224)+J224</f>
        <v>0</v>
      </c>
      <c r="N224" s="172">
        <f>SUM(H224)+K224</f>
        <v>4864</v>
      </c>
      <c r="O224" s="178">
        <f t="shared" si="53"/>
        <v>4864</v>
      </c>
      <c r="P224" s="92">
        <f t="shared" si="54"/>
        <v>0</v>
      </c>
      <c r="Q224" s="25"/>
    </row>
    <row r="225" spans="1:17" ht="31.5" x14ac:dyDescent="0.2">
      <c r="A225" s="19"/>
      <c r="B225" s="168" t="s">
        <v>35</v>
      </c>
      <c r="C225" s="169" t="s">
        <v>451</v>
      </c>
      <c r="D225" s="170" t="s">
        <v>36</v>
      </c>
      <c r="E225" s="171"/>
      <c r="F225" s="172">
        <v>1564</v>
      </c>
      <c r="G225" s="172"/>
      <c r="H225" s="172">
        <f t="shared" si="56"/>
        <v>1564</v>
      </c>
      <c r="I225" s="188">
        <v>3300</v>
      </c>
      <c r="J225" s="189"/>
      <c r="K225" s="188">
        <f>SUM(I225)</f>
        <v>3300</v>
      </c>
      <c r="L225" s="172">
        <f>SUM(F225+I225)</f>
        <v>4864</v>
      </c>
      <c r="M225" s="172">
        <f>SUM(G225)+J225</f>
        <v>0</v>
      </c>
      <c r="N225" s="172">
        <f>SUM(H225)+K225</f>
        <v>4864</v>
      </c>
      <c r="O225" s="178">
        <f t="shared" si="53"/>
        <v>4864</v>
      </c>
      <c r="P225" s="92">
        <f t="shared" si="54"/>
        <v>0</v>
      </c>
      <c r="Q225" s="25"/>
    </row>
    <row r="226" spans="1:17" ht="31.5" x14ac:dyDescent="0.2">
      <c r="A226" s="49"/>
      <c r="B226" s="206" t="s">
        <v>226</v>
      </c>
      <c r="C226" s="207" t="s">
        <v>227</v>
      </c>
      <c r="D226" s="208" t="s">
        <v>26</v>
      </c>
      <c r="E226" s="209"/>
      <c r="F226" s="210">
        <f t="shared" ref="F226:N227" si="57">F227</f>
        <v>330</v>
      </c>
      <c r="G226" s="210">
        <f t="shared" si="57"/>
        <v>0</v>
      </c>
      <c r="H226" s="210">
        <f t="shared" si="57"/>
        <v>330</v>
      </c>
      <c r="I226" s="211">
        <f t="shared" si="57"/>
        <v>0</v>
      </c>
      <c r="J226" s="212"/>
      <c r="K226" s="211">
        <f t="shared" si="57"/>
        <v>0</v>
      </c>
      <c r="L226" s="210">
        <f t="shared" si="57"/>
        <v>330</v>
      </c>
      <c r="M226" s="210">
        <f t="shared" si="57"/>
        <v>0</v>
      </c>
      <c r="N226" s="210">
        <f t="shared" si="57"/>
        <v>330</v>
      </c>
      <c r="O226" s="178">
        <f t="shared" si="53"/>
        <v>330</v>
      </c>
      <c r="P226" s="92">
        <f t="shared" si="54"/>
        <v>0</v>
      </c>
    </row>
    <row r="227" spans="1:17" ht="31.5" x14ac:dyDescent="0.2">
      <c r="A227" s="42"/>
      <c r="B227" s="168" t="s">
        <v>228</v>
      </c>
      <c r="C227" s="169" t="s">
        <v>229</v>
      </c>
      <c r="D227" s="170" t="s">
        <v>26</v>
      </c>
      <c r="E227" s="171"/>
      <c r="F227" s="172">
        <f t="shared" si="57"/>
        <v>330</v>
      </c>
      <c r="G227" s="172">
        <f t="shared" si="57"/>
        <v>0</v>
      </c>
      <c r="H227" s="172">
        <f t="shared" si="57"/>
        <v>330</v>
      </c>
      <c r="I227" s="188">
        <f t="shared" si="57"/>
        <v>0</v>
      </c>
      <c r="J227" s="189"/>
      <c r="K227" s="188">
        <f t="shared" si="57"/>
        <v>0</v>
      </c>
      <c r="L227" s="172">
        <f t="shared" si="57"/>
        <v>330</v>
      </c>
      <c r="M227" s="172">
        <f t="shared" si="57"/>
        <v>0</v>
      </c>
      <c r="N227" s="172">
        <f t="shared" si="57"/>
        <v>330</v>
      </c>
      <c r="O227" s="178">
        <f t="shared" si="53"/>
        <v>330</v>
      </c>
      <c r="P227" s="92">
        <f t="shared" si="54"/>
        <v>0</v>
      </c>
    </row>
    <row r="228" spans="1:17" ht="31.5" x14ac:dyDescent="0.2">
      <c r="A228" s="42"/>
      <c r="B228" s="168" t="s">
        <v>226</v>
      </c>
      <c r="C228" s="169" t="s">
        <v>230</v>
      </c>
      <c r="D228" s="170" t="s">
        <v>26</v>
      </c>
      <c r="E228" s="171"/>
      <c r="F228" s="172">
        <f>F230+F229</f>
        <v>330</v>
      </c>
      <c r="G228" s="172">
        <f>G230+G229</f>
        <v>0</v>
      </c>
      <c r="H228" s="172">
        <f>H230+H229</f>
        <v>330</v>
      </c>
      <c r="I228" s="188">
        <f>I230+I229</f>
        <v>0</v>
      </c>
      <c r="J228" s="189"/>
      <c r="K228" s="188">
        <f>K230+K229</f>
        <v>0</v>
      </c>
      <c r="L228" s="172">
        <f>L230+L229</f>
        <v>330</v>
      </c>
      <c r="M228" s="172">
        <f>M230+M229</f>
        <v>0</v>
      </c>
      <c r="N228" s="172">
        <f>N230+N229</f>
        <v>330</v>
      </c>
      <c r="O228" s="178">
        <f t="shared" si="53"/>
        <v>330</v>
      </c>
      <c r="P228" s="92">
        <f t="shared" si="54"/>
        <v>0</v>
      </c>
    </row>
    <row r="229" spans="1:17" ht="31.5" x14ac:dyDescent="0.2">
      <c r="A229" s="42"/>
      <c r="B229" s="168" t="s">
        <v>35</v>
      </c>
      <c r="C229" s="169" t="s">
        <v>230</v>
      </c>
      <c r="D229" s="170" t="s">
        <v>36</v>
      </c>
      <c r="E229" s="171"/>
      <c r="F229" s="172">
        <v>200</v>
      </c>
      <c r="G229" s="172"/>
      <c r="H229" s="172">
        <v>200</v>
      </c>
      <c r="I229" s="188">
        <v>0</v>
      </c>
      <c r="J229" s="189"/>
      <c r="K229" s="188">
        <v>0</v>
      </c>
      <c r="L229" s="172">
        <v>200</v>
      </c>
      <c r="M229" s="172"/>
      <c r="N229" s="172">
        <v>200</v>
      </c>
      <c r="O229" s="178">
        <f t="shared" si="53"/>
        <v>200</v>
      </c>
      <c r="P229" s="92">
        <f t="shared" si="54"/>
        <v>0</v>
      </c>
    </row>
    <row r="230" spans="1:17" ht="18.75" x14ac:dyDescent="0.2">
      <c r="A230" s="42"/>
      <c r="B230" s="168" t="s">
        <v>41</v>
      </c>
      <c r="C230" s="169" t="s">
        <v>230</v>
      </c>
      <c r="D230" s="170" t="s">
        <v>42</v>
      </c>
      <c r="E230" s="171"/>
      <c r="F230" s="172">
        <v>130</v>
      </c>
      <c r="G230" s="172"/>
      <c r="H230" s="172">
        <v>130</v>
      </c>
      <c r="I230" s="188">
        <v>0</v>
      </c>
      <c r="J230" s="189"/>
      <c r="K230" s="188">
        <v>0</v>
      </c>
      <c r="L230" s="172">
        <v>130</v>
      </c>
      <c r="M230" s="172"/>
      <c r="N230" s="172">
        <v>130</v>
      </c>
      <c r="O230" s="178">
        <f t="shared" si="53"/>
        <v>130</v>
      </c>
      <c r="P230" s="92">
        <f t="shared" si="54"/>
        <v>0</v>
      </c>
    </row>
    <row r="231" spans="1:17" ht="22.15" customHeight="1" x14ac:dyDescent="0.2">
      <c r="A231" s="49"/>
      <c r="B231" s="190" t="s">
        <v>231</v>
      </c>
      <c r="C231" s="191" t="s">
        <v>232</v>
      </c>
      <c r="D231" s="192" t="s">
        <v>26</v>
      </c>
      <c r="E231" s="193"/>
      <c r="F231" s="194">
        <f t="shared" ref="F231:N232" si="58">F232</f>
        <v>4396.1000000000004</v>
      </c>
      <c r="G231" s="194">
        <f t="shared" si="58"/>
        <v>0</v>
      </c>
      <c r="H231" s="194">
        <f t="shared" si="58"/>
        <v>4396.1000000000004</v>
      </c>
      <c r="I231" s="195">
        <f t="shared" si="58"/>
        <v>0</v>
      </c>
      <c r="J231" s="194">
        <f t="shared" si="58"/>
        <v>0</v>
      </c>
      <c r="K231" s="195">
        <f t="shared" si="58"/>
        <v>0</v>
      </c>
      <c r="L231" s="194">
        <f t="shared" si="58"/>
        <v>4396.1000000000004</v>
      </c>
      <c r="M231" s="194">
        <f t="shared" si="58"/>
        <v>0</v>
      </c>
      <c r="N231" s="194">
        <f t="shared" si="58"/>
        <v>4396.1000000000004</v>
      </c>
      <c r="O231" s="178">
        <f t="shared" si="53"/>
        <v>4396.1000000000004</v>
      </c>
      <c r="P231" s="92">
        <f t="shared" si="54"/>
        <v>0</v>
      </c>
    </row>
    <row r="232" spans="1:17" ht="34.9" customHeight="1" x14ac:dyDescent="0.2">
      <c r="A232" s="42"/>
      <c r="B232" s="168" t="s">
        <v>233</v>
      </c>
      <c r="C232" s="169" t="s">
        <v>234</v>
      </c>
      <c r="D232" s="170" t="s">
        <v>26</v>
      </c>
      <c r="E232" s="171"/>
      <c r="F232" s="172">
        <f t="shared" si="58"/>
        <v>4396.1000000000004</v>
      </c>
      <c r="G232" s="172">
        <f>G233+G238</f>
        <v>0</v>
      </c>
      <c r="H232" s="172">
        <f t="shared" si="58"/>
        <v>4396.1000000000004</v>
      </c>
      <c r="I232" s="188">
        <f t="shared" si="58"/>
        <v>0</v>
      </c>
      <c r="J232" s="189"/>
      <c r="K232" s="188">
        <f t="shared" si="58"/>
        <v>0</v>
      </c>
      <c r="L232" s="172">
        <f t="shared" si="58"/>
        <v>4396.1000000000004</v>
      </c>
      <c r="M232" s="172">
        <f>SUM(G232)</f>
        <v>0</v>
      </c>
      <c r="N232" s="172">
        <f>N233</f>
        <v>4396.1000000000004</v>
      </c>
      <c r="O232" s="178">
        <f t="shared" si="53"/>
        <v>4396.1000000000004</v>
      </c>
      <c r="P232" s="92">
        <f t="shared" si="54"/>
        <v>0</v>
      </c>
    </row>
    <row r="233" spans="1:17" ht="31.5" x14ac:dyDescent="0.2">
      <c r="A233" s="42"/>
      <c r="B233" s="168" t="s">
        <v>39</v>
      </c>
      <c r="C233" s="169" t="s">
        <v>235</v>
      </c>
      <c r="D233" s="170" t="s">
        <v>26</v>
      </c>
      <c r="E233" s="171"/>
      <c r="F233" s="172">
        <f>F234+F235</f>
        <v>4396.1000000000004</v>
      </c>
      <c r="G233" s="172">
        <f>G234+G235</f>
        <v>0</v>
      </c>
      <c r="H233" s="172">
        <f>H234+H235</f>
        <v>4396.1000000000004</v>
      </c>
      <c r="I233" s="188">
        <f>I234+I235</f>
        <v>0</v>
      </c>
      <c r="J233" s="189"/>
      <c r="K233" s="188">
        <f>K234+K235</f>
        <v>0</v>
      </c>
      <c r="L233" s="172">
        <f>L234+L235</f>
        <v>4396.1000000000004</v>
      </c>
      <c r="M233" s="172">
        <f>M234+M235</f>
        <v>0</v>
      </c>
      <c r="N233" s="172">
        <f>N234+N235</f>
        <v>4396.1000000000004</v>
      </c>
      <c r="O233" s="178">
        <f t="shared" si="53"/>
        <v>4396.1000000000004</v>
      </c>
      <c r="P233" s="92">
        <f t="shared" si="54"/>
        <v>0</v>
      </c>
    </row>
    <row r="234" spans="1:17" ht="66" customHeight="1" x14ac:dyDescent="0.2">
      <c r="A234" s="42"/>
      <c r="B234" s="168" t="s">
        <v>31</v>
      </c>
      <c r="C234" s="169" t="s">
        <v>235</v>
      </c>
      <c r="D234" s="170" t="s">
        <v>32</v>
      </c>
      <c r="E234" s="171"/>
      <c r="F234" s="172">
        <v>4250.6000000000004</v>
      </c>
      <c r="G234" s="172"/>
      <c r="H234" s="172">
        <f>SUM(F234)</f>
        <v>4250.6000000000004</v>
      </c>
      <c r="I234" s="188">
        <v>0</v>
      </c>
      <c r="J234" s="189"/>
      <c r="K234" s="188">
        <v>0</v>
      </c>
      <c r="L234" s="172">
        <f>SUM(F234)</f>
        <v>4250.6000000000004</v>
      </c>
      <c r="M234" s="172">
        <f>SUM(G234)</f>
        <v>0</v>
      </c>
      <c r="N234" s="172">
        <f>SUM(H234)</f>
        <v>4250.6000000000004</v>
      </c>
      <c r="O234" s="178">
        <f t="shared" si="53"/>
        <v>4250.6000000000004</v>
      </c>
      <c r="P234" s="92">
        <f t="shared" si="54"/>
        <v>0</v>
      </c>
    </row>
    <row r="235" spans="1:17" ht="30.75" customHeight="1" x14ac:dyDescent="0.2">
      <c r="A235" s="42"/>
      <c r="B235" s="168" t="s">
        <v>35</v>
      </c>
      <c r="C235" s="169" t="s">
        <v>235</v>
      </c>
      <c r="D235" s="170" t="s">
        <v>36</v>
      </c>
      <c r="E235" s="171"/>
      <c r="F235" s="172">
        <v>145.5</v>
      </c>
      <c r="G235" s="172"/>
      <c r="H235" s="172">
        <v>145.5</v>
      </c>
      <c r="I235" s="188">
        <v>0</v>
      </c>
      <c r="J235" s="189"/>
      <c r="K235" s="188">
        <v>0</v>
      </c>
      <c r="L235" s="172">
        <v>145.5</v>
      </c>
      <c r="M235" s="172"/>
      <c r="N235" s="172">
        <v>145.5</v>
      </c>
      <c r="O235" s="178">
        <f t="shared" si="53"/>
        <v>145.5</v>
      </c>
      <c r="P235" s="92">
        <f t="shared" si="54"/>
        <v>0</v>
      </c>
    </row>
    <row r="236" spans="1:17" ht="18.75" hidden="1" x14ac:dyDescent="0.2">
      <c r="A236" s="42"/>
      <c r="B236" s="168"/>
      <c r="C236" s="169"/>
      <c r="D236" s="170"/>
      <c r="E236" s="171"/>
      <c r="F236" s="172"/>
      <c r="G236" s="172"/>
      <c r="H236" s="172"/>
      <c r="I236" s="188"/>
      <c r="J236" s="189"/>
      <c r="K236" s="188"/>
      <c r="L236" s="172"/>
      <c r="M236" s="172"/>
      <c r="N236" s="172"/>
      <c r="O236" s="178">
        <f t="shared" si="53"/>
        <v>0</v>
      </c>
      <c r="P236" s="92">
        <f t="shared" si="54"/>
        <v>0</v>
      </c>
    </row>
    <row r="237" spans="1:17" ht="18.75" hidden="1" x14ac:dyDescent="0.2">
      <c r="A237" s="42"/>
      <c r="B237" s="168"/>
      <c r="C237" s="169" t="s">
        <v>457</v>
      </c>
      <c r="D237" s="170"/>
      <c r="E237" s="171"/>
      <c r="F237" s="172"/>
      <c r="G237" s="172"/>
      <c r="H237" s="172"/>
      <c r="I237" s="188"/>
      <c r="J237" s="189"/>
      <c r="K237" s="188"/>
      <c r="L237" s="172"/>
      <c r="M237" s="172"/>
      <c r="N237" s="172"/>
      <c r="O237" s="178">
        <f t="shared" si="53"/>
        <v>0</v>
      </c>
      <c r="P237" s="92">
        <f t="shared" si="54"/>
        <v>0</v>
      </c>
    </row>
    <row r="238" spans="1:17" ht="47.25" hidden="1" x14ac:dyDescent="0.2">
      <c r="A238" s="42"/>
      <c r="B238" s="168" t="s">
        <v>458</v>
      </c>
      <c r="C238" s="169" t="s">
        <v>457</v>
      </c>
      <c r="D238" s="170"/>
      <c r="E238" s="171"/>
      <c r="F238" s="172"/>
      <c r="G238" s="172">
        <f>SUM(G239)</f>
        <v>0</v>
      </c>
      <c r="H238" s="172"/>
      <c r="I238" s="188"/>
      <c r="J238" s="189"/>
      <c r="K238" s="188"/>
      <c r="L238" s="172"/>
      <c r="M238" s="172">
        <f>SUM(G238)</f>
        <v>0</v>
      </c>
      <c r="N238" s="172">
        <f>SUM(H238)</f>
        <v>0</v>
      </c>
      <c r="O238" s="178">
        <f t="shared" si="53"/>
        <v>0</v>
      </c>
      <c r="P238" s="92">
        <f t="shared" si="54"/>
        <v>0</v>
      </c>
    </row>
    <row r="239" spans="1:17" ht="18.75" hidden="1" x14ac:dyDescent="0.2">
      <c r="A239" s="42"/>
      <c r="B239" s="168" t="s">
        <v>278</v>
      </c>
      <c r="C239" s="169" t="s">
        <v>457</v>
      </c>
      <c r="D239" s="170" t="s">
        <v>279</v>
      </c>
      <c r="E239" s="171"/>
      <c r="F239" s="172"/>
      <c r="G239" s="172"/>
      <c r="H239" s="172">
        <f>SUM(G239)</f>
        <v>0</v>
      </c>
      <c r="I239" s="188"/>
      <c r="J239" s="189"/>
      <c r="K239" s="188"/>
      <c r="L239" s="172"/>
      <c r="M239" s="172">
        <f>SUM(G239)</f>
        <v>0</v>
      </c>
      <c r="N239" s="172">
        <f>SUM(H239)</f>
        <v>0</v>
      </c>
      <c r="O239" s="178">
        <f t="shared" si="53"/>
        <v>0</v>
      </c>
      <c r="P239" s="92">
        <f t="shared" si="54"/>
        <v>0</v>
      </c>
    </row>
    <row r="240" spans="1:17" ht="48.6" customHeight="1" x14ac:dyDescent="0.2">
      <c r="A240" s="49"/>
      <c r="B240" s="190" t="s">
        <v>236</v>
      </c>
      <c r="C240" s="191" t="s">
        <v>237</v>
      </c>
      <c r="D240" s="192" t="s">
        <v>26</v>
      </c>
      <c r="E240" s="193"/>
      <c r="F240" s="194">
        <f t="shared" ref="F240:N242" si="59">F241</f>
        <v>600</v>
      </c>
      <c r="G240" s="194">
        <f t="shared" si="59"/>
        <v>0</v>
      </c>
      <c r="H240" s="194">
        <f t="shared" si="59"/>
        <v>600</v>
      </c>
      <c r="I240" s="195">
        <f t="shared" si="59"/>
        <v>0</v>
      </c>
      <c r="J240" s="194">
        <f>J241</f>
        <v>0</v>
      </c>
      <c r="K240" s="195">
        <f t="shared" si="59"/>
        <v>0</v>
      </c>
      <c r="L240" s="194">
        <f t="shared" si="59"/>
        <v>600</v>
      </c>
      <c r="M240" s="194">
        <f t="shared" si="59"/>
        <v>0</v>
      </c>
      <c r="N240" s="194">
        <f t="shared" si="59"/>
        <v>600</v>
      </c>
      <c r="O240" s="178">
        <f t="shared" si="53"/>
        <v>600</v>
      </c>
      <c r="P240" s="92">
        <f t="shared" si="54"/>
        <v>0</v>
      </c>
    </row>
    <row r="241" spans="1:16" ht="33.6" customHeight="1" x14ac:dyDescent="0.2">
      <c r="A241" s="42"/>
      <c r="B241" s="168" t="s">
        <v>238</v>
      </c>
      <c r="C241" s="169" t="s">
        <v>239</v>
      </c>
      <c r="D241" s="170" t="s">
        <v>26</v>
      </c>
      <c r="E241" s="171"/>
      <c r="F241" s="172">
        <f t="shared" si="59"/>
        <v>600</v>
      </c>
      <c r="G241" s="172">
        <f t="shared" si="59"/>
        <v>0</v>
      </c>
      <c r="H241" s="172">
        <f t="shared" si="59"/>
        <v>600</v>
      </c>
      <c r="I241" s="188">
        <f t="shared" si="59"/>
        <v>0</v>
      </c>
      <c r="J241" s="189"/>
      <c r="K241" s="188">
        <f t="shared" si="59"/>
        <v>0</v>
      </c>
      <c r="L241" s="172">
        <f t="shared" si="59"/>
        <v>600</v>
      </c>
      <c r="M241" s="172">
        <f t="shared" si="59"/>
        <v>0</v>
      </c>
      <c r="N241" s="172">
        <f t="shared" si="59"/>
        <v>600</v>
      </c>
      <c r="O241" s="178">
        <f t="shared" si="53"/>
        <v>600</v>
      </c>
      <c r="P241" s="92">
        <f t="shared" si="54"/>
        <v>0</v>
      </c>
    </row>
    <row r="242" spans="1:16" ht="18.75" x14ac:dyDescent="0.2">
      <c r="A242" s="42"/>
      <c r="B242" s="168" t="s">
        <v>240</v>
      </c>
      <c r="C242" s="169" t="s">
        <v>241</v>
      </c>
      <c r="D242" s="170" t="s">
        <v>26</v>
      </c>
      <c r="E242" s="171"/>
      <c r="F242" s="172">
        <f t="shared" si="59"/>
        <v>600</v>
      </c>
      <c r="G242" s="172">
        <f t="shared" si="59"/>
        <v>0</v>
      </c>
      <c r="H242" s="172">
        <f t="shared" si="59"/>
        <v>600</v>
      </c>
      <c r="I242" s="188">
        <f t="shared" si="59"/>
        <v>0</v>
      </c>
      <c r="J242" s="189"/>
      <c r="K242" s="188">
        <f t="shared" si="59"/>
        <v>0</v>
      </c>
      <c r="L242" s="172">
        <f t="shared" si="59"/>
        <v>600</v>
      </c>
      <c r="M242" s="172">
        <f t="shared" si="59"/>
        <v>0</v>
      </c>
      <c r="N242" s="172">
        <f t="shared" si="59"/>
        <v>600</v>
      </c>
      <c r="O242" s="178">
        <f t="shared" si="53"/>
        <v>600</v>
      </c>
      <c r="P242" s="92">
        <f t="shared" si="54"/>
        <v>0</v>
      </c>
    </row>
    <row r="243" spans="1:16" ht="31.5" x14ac:dyDescent="0.2">
      <c r="A243" s="42"/>
      <c r="B243" s="168" t="s">
        <v>35</v>
      </c>
      <c r="C243" s="169" t="s">
        <v>241</v>
      </c>
      <c r="D243" s="170" t="s">
        <v>36</v>
      </c>
      <c r="E243" s="171"/>
      <c r="F243" s="172">
        <v>600</v>
      </c>
      <c r="G243" s="172"/>
      <c r="H243" s="172">
        <f>F243+G243</f>
        <v>600</v>
      </c>
      <c r="I243" s="188">
        <v>0</v>
      </c>
      <c r="J243" s="189"/>
      <c r="K243" s="188">
        <v>0</v>
      </c>
      <c r="L243" s="172">
        <f>SUM(F243)</f>
        <v>600</v>
      </c>
      <c r="M243" s="172">
        <f>SUM(G243)</f>
        <v>0</v>
      </c>
      <c r="N243" s="172">
        <f>SUM(H243)</f>
        <v>600</v>
      </c>
      <c r="O243" s="178">
        <f t="shared" si="53"/>
        <v>600</v>
      </c>
      <c r="P243" s="92">
        <f t="shared" si="54"/>
        <v>0</v>
      </c>
    </row>
    <row r="244" spans="1:16" ht="18.75" x14ac:dyDescent="0.2">
      <c r="A244" s="49"/>
      <c r="B244" s="190" t="s">
        <v>140</v>
      </c>
      <c r="C244" s="191" t="s">
        <v>242</v>
      </c>
      <c r="D244" s="192" t="s">
        <v>26</v>
      </c>
      <c r="E244" s="193"/>
      <c r="F244" s="194">
        <f t="shared" ref="F244:N246" si="60">F245</f>
        <v>11222.4</v>
      </c>
      <c r="G244" s="194">
        <f t="shared" si="60"/>
        <v>0</v>
      </c>
      <c r="H244" s="194">
        <f t="shared" si="60"/>
        <v>11222.4</v>
      </c>
      <c r="I244" s="195">
        <f t="shared" si="60"/>
        <v>148194</v>
      </c>
      <c r="J244" s="194">
        <f>J245</f>
        <v>0</v>
      </c>
      <c r="K244" s="195">
        <f t="shared" si="60"/>
        <v>148194</v>
      </c>
      <c r="L244" s="194">
        <f t="shared" si="60"/>
        <v>159416.4</v>
      </c>
      <c r="M244" s="194">
        <f t="shared" si="60"/>
        <v>0</v>
      </c>
      <c r="N244" s="194">
        <f t="shared" si="60"/>
        <v>159416.4</v>
      </c>
      <c r="O244" s="178">
        <f t="shared" si="53"/>
        <v>159416.4</v>
      </c>
      <c r="P244" s="92">
        <f t="shared" si="54"/>
        <v>0</v>
      </c>
    </row>
    <row r="245" spans="1:16" ht="31.5" x14ac:dyDescent="0.2">
      <c r="A245" s="42"/>
      <c r="B245" s="168" t="s">
        <v>243</v>
      </c>
      <c r="C245" s="169" t="s">
        <v>244</v>
      </c>
      <c r="D245" s="170" t="s">
        <v>26</v>
      </c>
      <c r="E245" s="171"/>
      <c r="F245" s="172">
        <f>F246+F248</f>
        <v>11222.4</v>
      </c>
      <c r="G245" s="172">
        <f>G246+G248</f>
        <v>0</v>
      </c>
      <c r="H245" s="172">
        <f>H246+H248</f>
        <v>11222.4</v>
      </c>
      <c r="I245" s="188">
        <f t="shared" si="60"/>
        <v>148194</v>
      </c>
      <c r="J245" s="189"/>
      <c r="K245" s="188">
        <f t="shared" si="60"/>
        <v>148194</v>
      </c>
      <c r="L245" s="172">
        <f>L246+L248</f>
        <v>159416.4</v>
      </c>
      <c r="M245" s="172">
        <f>M246+M248</f>
        <v>0</v>
      </c>
      <c r="N245" s="172">
        <f>N246+N248</f>
        <v>159416.4</v>
      </c>
      <c r="O245" s="178">
        <f t="shared" si="53"/>
        <v>159416.4</v>
      </c>
      <c r="P245" s="92">
        <f t="shared" si="54"/>
        <v>0</v>
      </c>
    </row>
    <row r="246" spans="1:16" ht="97.15" customHeight="1" x14ac:dyDescent="0.2">
      <c r="A246" s="42"/>
      <c r="B246" s="168" t="s">
        <v>478</v>
      </c>
      <c r="C246" s="169" t="s">
        <v>246</v>
      </c>
      <c r="D246" s="170" t="s">
        <v>26</v>
      </c>
      <c r="E246" s="171"/>
      <c r="F246" s="172">
        <f t="shared" si="60"/>
        <v>7799.8</v>
      </c>
      <c r="G246" s="172">
        <f t="shared" si="60"/>
        <v>0</v>
      </c>
      <c r="H246" s="172">
        <f t="shared" si="60"/>
        <v>7799.8</v>
      </c>
      <c r="I246" s="188">
        <f t="shared" si="60"/>
        <v>148194</v>
      </c>
      <c r="J246" s="189"/>
      <c r="K246" s="188">
        <f t="shared" si="60"/>
        <v>148194</v>
      </c>
      <c r="L246" s="172">
        <f t="shared" si="60"/>
        <v>155993.79999999999</v>
      </c>
      <c r="M246" s="172">
        <f t="shared" si="60"/>
        <v>0</v>
      </c>
      <c r="N246" s="172">
        <f t="shared" si="60"/>
        <v>155993.79999999999</v>
      </c>
      <c r="O246" s="178">
        <f t="shared" si="53"/>
        <v>155993.79999999999</v>
      </c>
      <c r="P246" s="92">
        <f t="shared" si="54"/>
        <v>0</v>
      </c>
    </row>
    <row r="247" spans="1:16" ht="31.5" x14ac:dyDescent="0.2">
      <c r="A247" s="42"/>
      <c r="B247" s="168" t="s">
        <v>131</v>
      </c>
      <c r="C247" s="169" t="s">
        <v>246</v>
      </c>
      <c r="D247" s="170" t="s">
        <v>132</v>
      </c>
      <c r="E247" s="171"/>
      <c r="F247" s="172">
        <v>7799.8</v>
      </c>
      <c r="G247" s="172"/>
      <c r="H247" s="172">
        <f>SUM(F247)</f>
        <v>7799.8</v>
      </c>
      <c r="I247" s="188">
        <v>148194</v>
      </c>
      <c r="J247" s="189"/>
      <c r="K247" s="188">
        <f>SUM(I247)</f>
        <v>148194</v>
      </c>
      <c r="L247" s="172">
        <f>SUM(F247+I247)</f>
        <v>155993.79999999999</v>
      </c>
      <c r="M247" s="172">
        <f>SUM(G247)+J247</f>
        <v>0</v>
      </c>
      <c r="N247" s="172">
        <f>SUM(H247+K247)</f>
        <v>155993.79999999999</v>
      </c>
      <c r="O247" s="178">
        <f t="shared" si="53"/>
        <v>155993.79999999999</v>
      </c>
      <c r="P247" s="92">
        <f t="shared" si="54"/>
        <v>0</v>
      </c>
    </row>
    <row r="248" spans="1:16" ht="78.75" x14ac:dyDescent="0.2">
      <c r="A248" s="42"/>
      <c r="B248" s="198" t="s">
        <v>479</v>
      </c>
      <c r="C248" s="169" t="s">
        <v>461</v>
      </c>
      <c r="D248" s="170"/>
      <c r="E248" s="171"/>
      <c r="F248" s="172">
        <v>3422.6</v>
      </c>
      <c r="G248" s="172">
        <f>G249</f>
        <v>0</v>
      </c>
      <c r="H248" s="172">
        <f>SUM(F248:G248)</f>
        <v>3422.6</v>
      </c>
      <c r="I248" s="188"/>
      <c r="J248" s="189"/>
      <c r="K248" s="188"/>
      <c r="L248" s="172">
        <f>L249</f>
        <v>3422.6</v>
      </c>
      <c r="M248" s="172">
        <f>M249</f>
        <v>0</v>
      </c>
      <c r="N248" s="172">
        <f>N249</f>
        <v>3422.6</v>
      </c>
      <c r="O248" s="178">
        <f t="shared" si="53"/>
        <v>3422.6</v>
      </c>
      <c r="P248" s="92">
        <f t="shared" si="54"/>
        <v>0</v>
      </c>
    </row>
    <row r="249" spans="1:16" ht="31.5" x14ac:dyDescent="0.2">
      <c r="A249" s="42"/>
      <c r="B249" s="168" t="s">
        <v>131</v>
      </c>
      <c r="C249" s="169" t="s">
        <v>461</v>
      </c>
      <c r="D249" s="170" t="s">
        <v>132</v>
      </c>
      <c r="E249" s="171"/>
      <c r="F249" s="172">
        <v>3422.6</v>
      </c>
      <c r="G249" s="172"/>
      <c r="H249" s="172">
        <f>SUM(F249:G249)</f>
        <v>3422.6</v>
      </c>
      <c r="I249" s="188"/>
      <c r="J249" s="189"/>
      <c r="K249" s="188"/>
      <c r="L249" s="172">
        <f>SUM(F249)</f>
        <v>3422.6</v>
      </c>
      <c r="M249" s="172">
        <f>SUM(G249)</f>
        <v>0</v>
      </c>
      <c r="N249" s="172">
        <f>SUM(L249:M249)</f>
        <v>3422.6</v>
      </c>
      <c r="O249" s="178">
        <f t="shared" si="53"/>
        <v>3422.6</v>
      </c>
      <c r="P249" s="92">
        <f t="shared" si="54"/>
        <v>0</v>
      </c>
    </row>
    <row r="250" spans="1:16" ht="31.5" x14ac:dyDescent="0.2">
      <c r="A250" s="19" t="s">
        <v>247</v>
      </c>
      <c r="B250" s="182" t="s">
        <v>248</v>
      </c>
      <c r="C250" s="183" t="s">
        <v>249</v>
      </c>
      <c r="D250" s="184" t="s">
        <v>26</v>
      </c>
      <c r="E250" s="185"/>
      <c r="F250" s="186">
        <f t="shared" ref="F250:N250" si="61">F251+F255</f>
        <v>5761.9</v>
      </c>
      <c r="G250" s="186">
        <f t="shared" si="61"/>
        <v>0</v>
      </c>
      <c r="H250" s="186">
        <f t="shared" si="61"/>
        <v>5761.9</v>
      </c>
      <c r="I250" s="187">
        <f t="shared" si="61"/>
        <v>0</v>
      </c>
      <c r="J250" s="186">
        <f t="shared" si="61"/>
        <v>0</v>
      </c>
      <c r="K250" s="187">
        <f t="shared" si="61"/>
        <v>0</v>
      </c>
      <c r="L250" s="186">
        <f t="shared" si="61"/>
        <v>5761.9</v>
      </c>
      <c r="M250" s="186">
        <f t="shared" si="61"/>
        <v>0</v>
      </c>
      <c r="N250" s="186">
        <f t="shared" si="61"/>
        <v>5761.9</v>
      </c>
      <c r="O250" s="178">
        <f t="shared" si="53"/>
        <v>5761.9</v>
      </c>
      <c r="P250" s="92">
        <f t="shared" si="54"/>
        <v>0</v>
      </c>
    </row>
    <row r="251" spans="1:16" ht="18.75" x14ac:dyDescent="0.2">
      <c r="A251" s="49"/>
      <c r="B251" s="190" t="s">
        <v>250</v>
      </c>
      <c r="C251" s="191" t="s">
        <v>251</v>
      </c>
      <c r="D251" s="192" t="s">
        <v>26</v>
      </c>
      <c r="E251" s="193"/>
      <c r="F251" s="194">
        <f t="shared" ref="F251:N253" si="62">F252</f>
        <v>3500</v>
      </c>
      <c r="G251" s="194">
        <f t="shared" si="62"/>
        <v>0</v>
      </c>
      <c r="H251" s="194">
        <f t="shared" si="62"/>
        <v>3500</v>
      </c>
      <c r="I251" s="195">
        <f t="shared" si="62"/>
        <v>0</v>
      </c>
      <c r="J251" s="194">
        <f>J252</f>
        <v>0</v>
      </c>
      <c r="K251" s="195">
        <f t="shared" si="62"/>
        <v>0</v>
      </c>
      <c r="L251" s="194">
        <f t="shared" si="62"/>
        <v>3500</v>
      </c>
      <c r="M251" s="194">
        <f t="shared" si="62"/>
        <v>0</v>
      </c>
      <c r="N251" s="194">
        <f t="shared" si="62"/>
        <v>3500</v>
      </c>
      <c r="O251" s="178">
        <f t="shared" si="53"/>
        <v>3500</v>
      </c>
      <c r="P251" s="92">
        <f t="shared" si="54"/>
        <v>0</v>
      </c>
    </row>
    <row r="252" spans="1:16" ht="31.5" x14ac:dyDescent="0.2">
      <c r="A252" s="42"/>
      <c r="B252" s="168" t="s">
        <v>252</v>
      </c>
      <c r="C252" s="169" t="s">
        <v>253</v>
      </c>
      <c r="D252" s="170" t="s">
        <v>26</v>
      </c>
      <c r="E252" s="171"/>
      <c r="F252" s="172">
        <f t="shared" si="62"/>
        <v>3500</v>
      </c>
      <c r="G252" s="172">
        <f t="shared" si="62"/>
        <v>0</v>
      </c>
      <c r="H252" s="172">
        <f t="shared" si="62"/>
        <v>3500</v>
      </c>
      <c r="I252" s="188">
        <f t="shared" si="62"/>
        <v>0</v>
      </c>
      <c r="J252" s="189"/>
      <c r="K252" s="188">
        <f t="shared" si="62"/>
        <v>0</v>
      </c>
      <c r="L252" s="172">
        <f t="shared" si="62"/>
        <v>3500</v>
      </c>
      <c r="M252" s="172">
        <f t="shared" si="62"/>
        <v>0</v>
      </c>
      <c r="N252" s="172">
        <f t="shared" si="62"/>
        <v>3500</v>
      </c>
      <c r="O252" s="178">
        <f t="shared" si="53"/>
        <v>3500</v>
      </c>
      <c r="P252" s="92">
        <f t="shared" si="54"/>
        <v>0</v>
      </c>
    </row>
    <row r="253" spans="1:16" ht="31.5" x14ac:dyDescent="0.2">
      <c r="A253" s="42"/>
      <c r="B253" s="168" t="s">
        <v>254</v>
      </c>
      <c r="C253" s="169" t="s">
        <v>255</v>
      </c>
      <c r="D253" s="170" t="s">
        <v>26</v>
      </c>
      <c r="E253" s="171"/>
      <c r="F253" s="172">
        <f t="shared" si="62"/>
        <v>3500</v>
      </c>
      <c r="G253" s="172">
        <f t="shared" si="62"/>
        <v>0</v>
      </c>
      <c r="H253" s="172">
        <f t="shared" si="62"/>
        <v>3500</v>
      </c>
      <c r="I253" s="188">
        <f t="shared" si="62"/>
        <v>0</v>
      </c>
      <c r="J253" s="189"/>
      <c r="K253" s="188">
        <f t="shared" si="62"/>
        <v>0</v>
      </c>
      <c r="L253" s="172">
        <f t="shared" si="62"/>
        <v>3500</v>
      </c>
      <c r="M253" s="172">
        <f t="shared" si="62"/>
        <v>0</v>
      </c>
      <c r="N253" s="172">
        <f t="shared" si="62"/>
        <v>3500</v>
      </c>
      <c r="O253" s="178">
        <f t="shared" si="53"/>
        <v>3500</v>
      </c>
      <c r="P253" s="92">
        <f t="shared" si="54"/>
        <v>0</v>
      </c>
    </row>
    <row r="254" spans="1:16" ht="31.5" x14ac:dyDescent="0.2">
      <c r="A254" s="42"/>
      <c r="B254" s="168" t="s">
        <v>35</v>
      </c>
      <c r="C254" s="169" t="s">
        <v>255</v>
      </c>
      <c r="D254" s="170" t="s">
        <v>36</v>
      </c>
      <c r="E254" s="171"/>
      <c r="F254" s="172">
        <v>3500</v>
      </c>
      <c r="G254" s="172"/>
      <c r="H254" s="172">
        <v>3500</v>
      </c>
      <c r="I254" s="188">
        <v>0</v>
      </c>
      <c r="J254" s="189"/>
      <c r="K254" s="188">
        <v>0</v>
      </c>
      <c r="L254" s="172">
        <v>3500</v>
      </c>
      <c r="M254" s="172"/>
      <c r="N254" s="172">
        <v>3500</v>
      </c>
      <c r="O254" s="178">
        <f t="shared" si="53"/>
        <v>3500</v>
      </c>
      <c r="P254" s="92">
        <f t="shared" si="54"/>
        <v>0</v>
      </c>
    </row>
    <row r="255" spans="1:16" ht="18.75" x14ac:dyDescent="0.2">
      <c r="A255" s="49"/>
      <c r="B255" s="190" t="s">
        <v>256</v>
      </c>
      <c r="C255" s="191" t="s">
        <v>257</v>
      </c>
      <c r="D255" s="192" t="s">
        <v>26</v>
      </c>
      <c r="E255" s="193"/>
      <c r="F255" s="194">
        <f t="shared" ref="F255:N257" si="63">F256</f>
        <v>2261.9</v>
      </c>
      <c r="G255" s="194">
        <f t="shared" si="63"/>
        <v>0</v>
      </c>
      <c r="H255" s="194">
        <f t="shared" si="63"/>
        <v>2261.9</v>
      </c>
      <c r="I255" s="195">
        <f t="shared" si="63"/>
        <v>0</v>
      </c>
      <c r="J255" s="194">
        <f>J256</f>
        <v>0</v>
      </c>
      <c r="K255" s="195">
        <f t="shared" si="63"/>
        <v>0</v>
      </c>
      <c r="L255" s="194">
        <f t="shared" si="63"/>
        <v>2261.9</v>
      </c>
      <c r="M255" s="194">
        <f t="shared" si="63"/>
        <v>0</v>
      </c>
      <c r="N255" s="194">
        <f t="shared" si="63"/>
        <v>2261.9</v>
      </c>
      <c r="O255" s="178">
        <f t="shared" si="53"/>
        <v>2261.9</v>
      </c>
      <c r="P255" s="92">
        <f t="shared" si="54"/>
        <v>0</v>
      </c>
    </row>
    <row r="256" spans="1:16" ht="31.5" x14ac:dyDescent="0.2">
      <c r="A256" s="42"/>
      <c r="B256" s="168" t="s">
        <v>258</v>
      </c>
      <c r="C256" s="169" t="s">
        <v>259</v>
      </c>
      <c r="D256" s="170" t="s">
        <v>26</v>
      </c>
      <c r="E256" s="171"/>
      <c r="F256" s="172">
        <f t="shared" si="63"/>
        <v>2261.9</v>
      </c>
      <c r="G256" s="172">
        <f t="shared" si="63"/>
        <v>0</v>
      </c>
      <c r="H256" s="172">
        <f t="shared" si="63"/>
        <v>2261.9</v>
      </c>
      <c r="I256" s="188">
        <f t="shared" si="63"/>
        <v>0</v>
      </c>
      <c r="J256" s="189"/>
      <c r="K256" s="188">
        <f t="shared" si="63"/>
        <v>0</v>
      </c>
      <c r="L256" s="172">
        <f t="shared" si="63"/>
        <v>2261.9</v>
      </c>
      <c r="M256" s="172">
        <f t="shared" si="63"/>
        <v>0</v>
      </c>
      <c r="N256" s="172">
        <f t="shared" si="63"/>
        <v>2261.9</v>
      </c>
      <c r="O256" s="178">
        <f t="shared" si="53"/>
        <v>2261.9</v>
      </c>
      <c r="P256" s="92">
        <f t="shared" si="54"/>
        <v>0</v>
      </c>
    </row>
    <row r="257" spans="1:18" ht="31.5" x14ac:dyDescent="0.2">
      <c r="A257" s="42"/>
      <c r="B257" s="168" t="s">
        <v>254</v>
      </c>
      <c r="C257" s="169" t="s">
        <v>260</v>
      </c>
      <c r="D257" s="170" t="s">
        <v>26</v>
      </c>
      <c r="E257" s="171"/>
      <c r="F257" s="172">
        <f t="shared" si="63"/>
        <v>2261.9</v>
      </c>
      <c r="G257" s="172">
        <f t="shared" si="63"/>
        <v>0</v>
      </c>
      <c r="H257" s="172">
        <f t="shared" si="63"/>
        <v>2261.9</v>
      </c>
      <c r="I257" s="188">
        <f t="shared" si="63"/>
        <v>0</v>
      </c>
      <c r="J257" s="189"/>
      <c r="K257" s="188">
        <f t="shared" si="63"/>
        <v>0</v>
      </c>
      <c r="L257" s="172">
        <f t="shared" si="63"/>
        <v>2261.9</v>
      </c>
      <c r="M257" s="172">
        <f t="shared" si="63"/>
        <v>0</v>
      </c>
      <c r="N257" s="172">
        <f t="shared" si="63"/>
        <v>2261.9</v>
      </c>
      <c r="O257" s="178">
        <f t="shared" si="53"/>
        <v>2261.9</v>
      </c>
      <c r="P257" s="92">
        <f t="shared" si="54"/>
        <v>0</v>
      </c>
    </row>
    <row r="258" spans="1:18" ht="63" x14ac:dyDescent="0.2">
      <c r="A258" s="42"/>
      <c r="B258" s="168" t="s">
        <v>261</v>
      </c>
      <c r="C258" s="169" t="s">
        <v>260</v>
      </c>
      <c r="D258" s="170" t="s">
        <v>36</v>
      </c>
      <c r="E258" s="171"/>
      <c r="F258" s="172">
        <v>2261.9</v>
      </c>
      <c r="G258" s="172"/>
      <c r="H258" s="172">
        <f>SUM(F258)+G258</f>
        <v>2261.9</v>
      </c>
      <c r="I258" s="188">
        <v>0</v>
      </c>
      <c r="J258" s="189"/>
      <c r="K258" s="188">
        <v>0</v>
      </c>
      <c r="L258" s="172">
        <f>SUM(F258)</f>
        <v>2261.9</v>
      </c>
      <c r="M258" s="172">
        <f>SUM(G258)</f>
        <v>0</v>
      </c>
      <c r="N258" s="172">
        <f>SUM(H258)</f>
        <v>2261.9</v>
      </c>
      <c r="O258" s="178">
        <f t="shared" si="53"/>
        <v>2261.9</v>
      </c>
      <c r="P258" s="92">
        <f t="shared" si="54"/>
        <v>0</v>
      </c>
    </row>
    <row r="259" spans="1:18" ht="31.5" x14ac:dyDescent="0.2">
      <c r="A259" s="19" t="s">
        <v>262</v>
      </c>
      <c r="B259" s="182" t="s">
        <v>263</v>
      </c>
      <c r="C259" s="183" t="s">
        <v>264</v>
      </c>
      <c r="D259" s="184" t="s">
        <v>26</v>
      </c>
      <c r="E259" s="185"/>
      <c r="F259" s="186">
        <f t="shared" ref="F259:N259" si="64">F260+F282+F286+F292+F296</f>
        <v>47921.8</v>
      </c>
      <c r="G259" s="186">
        <f>G260+G282+G286+G292+G296</f>
        <v>0</v>
      </c>
      <c r="H259" s="186">
        <f t="shared" si="64"/>
        <v>47921.8</v>
      </c>
      <c r="I259" s="187">
        <f t="shared" si="64"/>
        <v>0</v>
      </c>
      <c r="J259" s="186">
        <f t="shared" si="64"/>
        <v>0</v>
      </c>
      <c r="K259" s="187">
        <f t="shared" si="64"/>
        <v>0</v>
      </c>
      <c r="L259" s="186">
        <f t="shared" si="64"/>
        <v>47921.8</v>
      </c>
      <c r="M259" s="186">
        <f>M260+M282+M286+M292+M296</f>
        <v>0</v>
      </c>
      <c r="N259" s="271">
        <f t="shared" si="64"/>
        <v>47921.8</v>
      </c>
      <c r="O259" s="178">
        <f t="shared" si="53"/>
        <v>47921.8</v>
      </c>
      <c r="P259" s="92">
        <f t="shared" si="54"/>
        <v>0</v>
      </c>
      <c r="Q259" s="25">
        <v>47921.9</v>
      </c>
      <c r="R259" s="280">
        <f>Q259-N259</f>
        <v>9.9999999998544808E-2</v>
      </c>
    </row>
    <row r="260" spans="1:18" ht="49.9" customHeight="1" x14ac:dyDescent="0.2">
      <c r="A260" s="49"/>
      <c r="B260" s="190" t="s">
        <v>265</v>
      </c>
      <c r="C260" s="191" t="s">
        <v>266</v>
      </c>
      <c r="D260" s="192" t="s">
        <v>26</v>
      </c>
      <c r="E260" s="193"/>
      <c r="F260" s="194">
        <f t="shared" ref="F260:N260" si="65">F261+F272+F275</f>
        <v>36647.800000000003</v>
      </c>
      <c r="G260" s="194">
        <f>G261+G272+G275</f>
        <v>0</v>
      </c>
      <c r="H260" s="194">
        <f t="shared" si="65"/>
        <v>36647.800000000003</v>
      </c>
      <c r="I260" s="195">
        <f t="shared" si="65"/>
        <v>0</v>
      </c>
      <c r="J260" s="194">
        <f t="shared" si="65"/>
        <v>0</v>
      </c>
      <c r="K260" s="195">
        <f t="shared" si="65"/>
        <v>0</v>
      </c>
      <c r="L260" s="194">
        <f t="shared" si="65"/>
        <v>36647.800000000003</v>
      </c>
      <c r="M260" s="194">
        <f t="shared" si="65"/>
        <v>0</v>
      </c>
      <c r="N260" s="275">
        <f t="shared" si="65"/>
        <v>36647.800000000003</v>
      </c>
      <c r="O260" s="178">
        <f t="shared" si="53"/>
        <v>36647.800000000003</v>
      </c>
      <c r="P260" s="92">
        <f t="shared" si="54"/>
        <v>0</v>
      </c>
      <c r="Q260" s="55"/>
    </row>
    <row r="261" spans="1:18" ht="50.45" customHeight="1" x14ac:dyDescent="0.2">
      <c r="A261" s="42"/>
      <c r="B261" s="168" t="s">
        <v>267</v>
      </c>
      <c r="C261" s="169" t="s">
        <v>268</v>
      </c>
      <c r="D261" s="170" t="s">
        <v>26</v>
      </c>
      <c r="E261" s="171"/>
      <c r="F261" s="172">
        <f>F262+F266+F270+F268</f>
        <v>19721</v>
      </c>
      <c r="G261" s="172">
        <f>G262+G266+G270+G268</f>
        <v>0</v>
      </c>
      <c r="H261" s="172">
        <f>H262+H266+H270+H268</f>
        <v>19721</v>
      </c>
      <c r="I261" s="188">
        <f>I262+I266+I270</f>
        <v>0</v>
      </c>
      <c r="J261" s="189"/>
      <c r="K261" s="188">
        <f>K262+K266+K270</f>
        <v>0</v>
      </c>
      <c r="L261" s="172">
        <f>L262+L266+L270+L268</f>
        <v>19721</v>
      </c>
      <c r="M261" s="172">
        <f>M262+M266+M270+M268</f>
        <v>0</v>
      </c>
      <c r="N261" s="172">
        <f>N262+N266+N270+N268</f>
        <v>19721</v>
      </c>
      <c r="O261" s="178">
        <f t="shared" si="53"/>
        <v>19721</v>
      </c>
      <c r="P261" s="92">
        <f t="shared" si="54"/>
        <v>0</v>
      </c>
      <c r="Q261" s="48"/>
    </row>
    <row r="262" spans="1:18" ht="31.5" x14ac:dyDescent="0.2">
      <c r="A262" s="42"/>
      <c r="B262" s="168" t="s">
        <v>39</v>
      </c>
      <c r="C262" s="169" t="s">
        <v>269</v>
      </c>
      <c r="D262" s="170" t="s">
        <v>26</v>
      </c>
      <c r="E262" s="171"/>
      <c r="F262" s="172">
        <f>F263+F264+F265</f>
        <v>11968.5</v>
      </c>
      <c r="G262" s="172">
        <f>SUM(G264)+G263</f>
        <v>0</v>
      </c>
      <c r="H262" s="172">
        <f>H263+H264+H265</f>
        <v>11968.5</v>
      </c>
      <c r="I262" s="188">
        <f>I263+I264+I265</f>
        <v>0</v>
      </c>
      <c r="J262" s="189"/>
      <c r="K262" s="188">
        <f>K263+K264+K265</f>
        <v>0</v>
      </c>
      <c r="L262" s="172">
        <f>L263+L264+L265</f>
        <v>11968.5</v>
      </c>
      <c r="M262" s="172">
        <f>SUM(G262)</f>
        <v>0</v>
      </c>
      <c r="N262" s="172">
        <f>N263+N264+N265</f>
        <v>11968.5</v>
      </c>
      <c r="O262" s="178">
        <f t="shared" si="53"/>
        <v>11968.5</v>
      </c>
      <c r="P262" s="92">
        <f t="shared" si="54"/>
        <v>0</v>
      </c>
    </row>
    <row r="263" spans="1:18" ht="64.900000000000006" customHeight="1" x14ac:dyDescent="0.2">
      <c r="A263" s="42"/>
      <c r="B263" s="168" t="s">
        <v>31</v>
      </c>
      <c r="C263" s="169" t="s">
        <v>269</v>
      </c>
      <c r="D263" s="170" t="s">
        <v>32</v>
      </c>
      <c r="E263" s="171"/>
      <c r="F263" s="172">
        <v>10420.200000000001</v>
      </c>
      <c r="G263" s="172"/>
      <c r="H263" s="172">
        <f>SUM(F263)</f>
        <v>10420.200000000001</v>
      </c>
      <c r="I263" s="188">
        <v>0</v>
      </c>
      <c r="J263" s="189"/>
      <c r="K263" s="188">
        <v>0</v>
      </c>
      <c r="L263" s="172">
        <f t="shared" ref="L263:N264" si="66">SUM(F263)</f>
        <v>10420.200000000001</v>
      </c>
      <c r="M263" s="172">
        <f t="shared" si="66"/>
        <v>0</v>
      </c>
      <c r="N263" s="172">
        <f t="shared" si="66"/>
        <v>10420.200000000001</v>
      </c>
      <c r="O263" s="178">
        <f t="shared" si="53"/>
        <v>10420.200000000001</v>
      </c>
      <c r="P263" s="92">
        <f t="shared" si="54"/>
        <v>0</v>
      </c>
    </row>
    <row r="264" spans="1:18" ht="31.5" x14ac:dyDescent="0.2">
      <c r="A264" s="42"/>
      <c r="B264" s="168" t="s">
        <v>35</v>
      </c>
      <c r="C264" s="169" t="s">
        <v>269</v>
      </c>
      <c r="D264" s="170" t="s">
        <v>36</v>
      </c>
      <c r="E264" s="171"/>
      <c r="F264" s="172">
        <v>1525.3</v>
      </c>
      <c r="G264" s="172"/>
      <c r="H264" s="172">
        <v>1525.3</v>
      </c>
      <c r="I264" s="188">
        <v>0</v>
      </c>
      <c r="J264" s="189"/>
      <c r="K264" s="188">
        <v>0</v>
      </c>
      <c r="L264" s="172">
        <f t="shared" si="66"/>
        <v>1525.3</v>
      </c>
      <c r="M264" s="172">
        <f t="shared" si="66"/>
        <v>0</v>
      </c>
      <c r="N264" s="172">
        <f t="shared" si="66"/>
        <v>1525.3</v>
      </c>
      <c r="O264" s="178">
        <f t="shared" si="53"/>
        <v>1525.3</v>
      </c>
      <c r="P264" s="92">
        <f t="shared" si="54"/>
        <v>0</v>
      </c>
    </row>
    <row r="265" spans="1:18" ht="18.75" x14ac:dyDescent="0.2">
      <c r="A265" s="42"/>
      <c r="B265" s="168" t="s">
        <v>41</v>
      </c>
      <c r="C265" s="169" t="s">
        <v>269</v>
      </c>
      <c r="D265" s="170" t="s">
        <v>42</v>
      </c>
      <c r="E265" s="171"/>
      <c r="F265" s="172">
        <v>23</v>
      </c>
      <c r="G265" s="172"/>
      <c r="H265" s="172">
        <v>23</v>
      </c>
      <c r="I265" s="188">
        <v>0</v>
      </c>
      <c r="J265" s="189"/>
      <c r="K265" s="188">
        <v>0</v>
      </c>
      <c r="L265" s="172">
        <v>23</v>
      </c>
      <c r="M265" s="172"/>
      <c r="N265" s="172">
        <v>23</v>
      </c>
      <c r="O265" s="178">
        <f t="shared" si="53"/>
        <v>23</v>
      </c>
      <c r="P265" s="92">
        <f t="shared" si="54"/>
        <v>0</v>
      </c>
    </row>
    <row r="266" spans="1:18" ht="48.6" customHeight="1" x14ac:dyDescent="0.2">
      <c r="A266" s="42"/>
      <c r="B266" s="168" t="s">
        <v>270</v>
      </c>
      <c r="C266" s="169" t="s">
        <v>271</v>
      </c>
      <c r="D266" s="170" t="s">
        <v>26</v>
      </c>
      <c r="E266" s="171"/>
      <c r="F266" s="172">
        <f>F267</f>
        <v>5667.6</v>
      </c>
      <c r="G266" s="172">
        <f>G267</f>
        <v>0</v>
      </c>
      <c r="H266" s="172">
        <f>H267</f>
        <v>5667.6</v>
      </c>
      <c r="I266" s="188">
        <f>I267</f>
        <v>0</v>
      </c>
      <c r="J266" s="189"/>
      <c r="K266" s="188">
        <f>K267</f>
        <v>0</v>
      </c>
      <c r="L266" s="172">
        <f>L267</f>
        <v>5667.6</v>
      </c>
      <c r="M266" s="172">
        <f>M267</f>
        <v>0</v>
      </c>
      <c r="N266" s="172">
        <f>N267</f>
        <v>5667.6</v>
      </c>
      <c r="O266" s="178">
        <f t="shared" si="53"/>
        <v>5667.6</v>
      </c>
      <c r="P266" s="92">
        <f t="shared" si="54"/>
        <v>0</v>
      </c>
    </row>
    <row r="267" spans="1:18" ht="31.5" x14ac:dyDescent="0.2">
      <c r="A267" s="42"/>
      <c r="B267" s="168" t="s">
        <v>35</v>
      </c>
      <c r="C267" s="169" t="s">
        <v>271</v>
      </c>
      <c r="D267" s="170" t="s">
        <v>36</v>
      </c>
      <c r="E267" s="171"/>
      <c r="F267" s="172">
        <v>5667.6</v>
      </c>
      <c r="G267" s="172"/>
      <c r="H267" s="172">
        <f>SUM(F267)+G267</f>
        <v>5667.6</v>
      </c>
      <c r="I267" s="188">
        <v>0</v>
      </c>
      <c r="J267" s="189"/>
      <c r="K267" s="188">
        <v>0</v>
      </c>
      <c r="L267" s="172">
        <f t="shared" ref="L267:N269" si="67">SUM(F267)</f>
        <v>5667.6</v>
      </c>
      <c r="M267" s="172">
        <f t="shared" si="67"/>
        <v>0</v>
      </c>
      <c r="N267" s="172">
        <f t="shared" si="67"/>
        <v>5667.6</v>
      </c>
      <c r="O267" s="178">
        <f t="shared" si="53"/>
        <v>5667.6</v>
      </c>
      <c r="P267" s="92">
        <f t="shared" si="54"/>
        <v>0</v>
      </c>
    </row>
    <row r="268" spans="1:18" ht="28.5" customHeight="1" x14ac:dyDescent="0.2">
      <c r="A268" s="42"/>
      <c r="B268" s="213" t="s">
        <v>456</v>
      </c>
      <c r="C268" s="169" t="s">
        <v>455</v>
      </c>
      <c r="D268" s="170"/>
      <c r="E268" s="171"/>
      <c r="F268" s="172">
        <v>1084.9000000000001</v>
      </c>
      <c r="G268" s="172">
        <f>G269</f>
        <v>0</v>
      </c>
      <c r="H268" s="172">
        <f>F268+G268</f>
        <v>1084.9000000000001</v>
      </c>
      <c r="I268" s="188"/>
      <c r="J268" s="189"/>
      <c r="K268" s="188"/>
      <c r="L268" s="172">
        <f t="shared" si="67"/>
        <v>1084.9000000000001</v>
      </c>
      <c r="M268" s="172">
        <f t="shared" si="67"/>
        <v>0</v>
      </c>
      <c r="N268" s="172">
        <f t="shared" si="67"/>
        <v>1084.9000000000001</v>
      </c>
      <c r="O268" s="178">
        <f t="shared" si="53"/>
        <v>1084.9000000000001</v>
      </c>
      <c r="P268" s="92">
        <f t="shared" si="54"/>
        <v>0</v>
      </c>
    </row>
    <row r="269" spans="1:18" ht="31.5" x14ac:dyDescent="0.2">
      <c r="A269" s="42"/>
      <c r="B269" s="168" t="s">
        <v>35</v>
      </c>
      <c r="C269" s="169" t="s">
        <v>455</v>
      </c>
      <c r="D269" s="170" t="s">
        <v>36</v>
      </c>
      <c r="E269" s="171"/>
      <c r="F269" s="172">
        <v>1084.9000000000001</v>
      </c>
      <c r="G269" s="172"/>
      <c r="H269" s="172">
        <f>F269+G269</f>
        <v>1084.9000000000001</v>
      </c>
      <c r="I269" s="188"/>
      <c r="J269" s="189"/>
      <c r="K269" s="188"/>
      <c r="L269" s="172">
        <f t="shared" si="67"/>
        <v>1084.9000000000001</v>
      </c>
      <c r="M269" s="172">
        <f t="shared" si="67"/>
        <v>0</v>
      </c>
      <c r="N269" s="172">
        <f t="shared" si="67"/>
        <v>1084.9000000000001</v>
      </c>
      <c r="O269" s="178">
        <f t="shared" si="53"/>
        <v>1084.9000000000001</v>
      </c>
      <c r="P269" s="92">
        <f t="shared" si="54"/>
        <v>0</v>
      </c>
    </row>
    <row r="270" spans="1:18" ht="47.25" x14ac:dyDescent="0.2">
      <c r="A270" s="42"/>
      <c r="B270" s="168" t="s">
        <v>272</v>
      </c>
      <c r="C270" s="169" t="s">
        <v>273</v>
      </c>
      <c r="D270" s="170" t="s">
        <v>26</v>
      </c>
      <c r="E270" s="171"/>
      <c r="F270" s="172">
        <f>F271</f>
        <v>1000</v>
      </c>
      <c r="G270" s="172">
        <f>G271</f>
        <v>0</v>
      </c>
      <c r="H270" s="172">
        <f>H271</f>
        <v>1000</v>
      </c>
      <c r="I270" s="188">
        <f>I271</f>
        <v>0</v>
      </c>
      <c r="J270" s="189"/>
      <c r="K270" s="188">
        <f>K271</f>
        <v>0</v>
      </c>
      <c r="L270" s="172">
        <f>L271</f>
        <v>1000</v>
      </c>
      <c r="M270" s="172">
        <f>M271</f>
        <v>0</v>
      </c>
      <c r="N270" s="172">
        <f>N271</f>
        <v>1000</v>
      </c>
      <c r="O270" s="178">
        <f t="shared" si="53"/>
        <v>1000</v>
      </c>
      <c r="P270" s="92">
        <f t="shared" si="54"/>
        <v>0</v>
      </c>
    </row>
    <row r="271" spans="1:18" ht="31.5" x14ac:dyDescent="0.2">
      <c r="A271" s="42"/>
      <c r="B271" s="168" t="s">
        <v>35</v>
      </c>
      <c r="C271" s="169" t="s">
        <v>273</v>
      </c>
      <c r="D271" s="170" t="s">
        <v>36</v>
      </c>
      <c r="E271" s="171"/>
      <c r="F271" s="172">
        <v>1000</v>
      </c>
      <c r="G271" s="172"/>
      <c r="H271" s="172">
        <v>1000</v>
      </c>
      <c r="I271" s="188">
        <v>0</v>
      </c>
      <c r="J271" s="189"/>
      <c r="K271" s="188">
        <v>0</v>
      </c>
      <c r="L271" s="172">
        <v>1000</v>
      </c>
      <c r="M271" s="172"/>
      <c r="N271" s="172">
        <v>1000</v>
      </c>
      <c r="O271" s="178">
        <f t="shared" si="53"/>
        <v>1000</v>
      </c>
      <c r="P271" s="92">
        <f t="shared" si="54"/>
        <v>0</v>
      </c>
    </row>
    <row r="272" spans="1:18" ht="31.5" x14ac:dyDescent="0.2">
      <c r="A272" s="42"/>
      <c r="B272" s="168" t="s">
        <v>274</v>
      </c>
      <c r="C272" s="169" t="s">
        <v>275</v>
      </c>
      <c r="D272" s="170" t="s">
        <v>26</v>
      </c>
      <c r="E272" s="171"/>
      <c r="F272" s="172">
        <f t="shared" ref="F272:N273" si="68">F273</f>
        <v>15278.4</v>
      </c>
      <c r="G272" s="172">
        <f>G273</f>
        <v>0</v>
      </c>
      <c r="H272" s="172">
        <f t="shared" si="68"/>
        <v>15278.4</v>
      </c>
      <c r="I272" s="188">
        <f t="shared" si="68"/>
        <v>0</v>
      </c>
      <c r="J272" s="189"/>
      <c r="K272" s="188">
        <f t="shared" si="68"/>
        <v>0</v>
      </c>
      <c r="L272" s="172">
        <f t="shared" si="68"/>
        <v>15278.4</v>
      </c>
      <c r="M272" s="172">
        <f t="shared" si="68"/>
        <v>0</v>
      </c>
      <c r="N272" s="172">
        <f t="shared" si="68"/>
        <v>15278.4</v>
      </c>
      <c r="O272" s="178">
        <f t="shared" si="53"/>
        <v>15278.4</v>
      </c>
      <c r="P272" s="92">
        <f t="shared" si="54"/>
        <v>0</v>
      </c>
    </row>
    <row r="273" spans="1:16" ht="78.75" x14ac:dyDescent="0.2">
      <c r="A273" s="42"/>
      <c r="B273" s="168" t="s">
        <v>276</v>
      </c>
      <c r="C273" s="169" t="s">
        <v>277</v>
      </c>
      <c r="D273" s="170" t="s">
        <v>26</v>
      </c>
      <c r="E273" s="171"/>
      <c r="F273" s="172">
        <f t="shared" si="68"/>
        <v>15278.4</v>
      </c>
      <c r="G273" s="172">
        <f t="shared" si="68"/>
        <v>0</v>
      </c>
      <c r="H273" s="172">
        <f t="shared" si="68"/>
        <v>15278.4</v>
      </c>
      <c r="I273" s="188">
        <f t="shared" si="68"/>
        <v>0</v>
      </c>
      <c r="J273" s="189"/>
      <c r="K273" s="188">
        <f t="shared" si="68"/>
        <v>0</v>
      </c>
      <c r="L273" s="172">
        <f t="shared" si="68"/>
        <v>15278.4</v>
      </c>
      <c r="M273" s="172">
        <f t="shared" si="68"/>
        <v>0</v>
      </c>
      <c r="N273" s="172">
        <f t="shared" si="68"/>
        <v>15278.4</v>
      </c>
      <c r="O273" s="178">
        <f t="shared" si="53"/>
        <v>15278.4</v>
      </c>
      <c r="P273" s="92">
        <f t="shared" si="54"/>
        <v>0</v>
      </c>
    </row>
    <row r="274" spans="1:16" ht="18.75" x14ac:dyDescent="0.2">
      <c r="A274" s="42"/>
      <c r="B274" s="168" t="s">
        <v>278</v>
      </c>
      <c r="C274" s="169" t="s">
        <v>277</v>
      </c>
      <c r="D274" s="170" t="s">
        <v>279</v>
      </c>
      <c r="E274" s="171"/>
      <c r="F274" s="172">
        <v>15278.4</v>
      </c>
      <c r="G274" s="172"/>
      <c r="H274" s="172">
        <v>15278.4</v>
      </c>
      <c r="I274" s="188">
        <v>0</v>
      </c>
      <c r="J274" s="189"/>
      <c r="K274" s="188">
        <v>0</v>
      </c>
      <c r="L274" s="172">
        <f>SUM(F274)</f>
        <v>15278.4</v>
      </c>
      <c r="M274" s="172">
        <f>SUM(G274)</f>
        <v>0</v>
      </c>
      <c r="N274" s="172">
        <f>SUM(H274)</f>
        <v>15278.4</v>
      </c>
      <c r="O274" s="178">
        <f t="shared" si="53"/>
        <v>15278.4</v>
      </c>
      <c r="P274" s="92">
        <f t="shared" si="54"/>
        <v>0</v>
      </c>
    </row>
    <row r="275" spans="1:16" ht="47.25" x14ac:dyDescent="0.2">
      <c r="A275" s="42"/>
      <c r="B275" s="168" t="s">
        <v>280</v>
      </c>
      <c r="C275" s="169" t="s">
        <v>281</v>
      </c>
      <c r="D275" s="170" t="s">
        <v>26</v>
      </c>
      <c r="E275" s="171"/>
      <c r="F275" s="172">
        <f t="shared" ref="F275:N276" si="69">F276</f>
        <v>1648.4</v>
      </c>
      <c r="G275" s="172">
        <f t="shared" si="69"/>
        <v>0</v>
      </c>
      <c r="H275" s="172">
        <f t="shared" si="69"/>
        <v>1648.4</v>
      </c>
      <c r="I275" s="188">
        <f t="shared" si="69"/>
        <v>0</v>
      </c>
      <c r="J275" s="189"/>
      <c r="K275" s="188">
        <f t="shared" si="69"/>
        <v>0</v>
      </c>
      <c r="L275" s="172">
        <f t="shared" si="69"/>
        <v>1648.4</v>
      </c>
      <c r="M275" s="172">
        <f t="shared" si="69"/>
        <v>0</v>
      </c>
      <c r="N275" s="172">
        <f t="shared" si="69"/>
        <v>1648.4</v>
      </c>
      <c r="O275" s="178">
        <f t="shared" si="53"/>
        <v>1648.4</v>
      </c>
      <c r="P275" s="92">
        <f t="shared" si="54"/>
        <v>0</v>
      </c>
    </row>
    <row r="276" spans="1:16" ht="67.900000000000006" customHeight="1" x14ac:dyDescent="0.2">
      <c r="A276" s="42"/>
      <c r="B276" s="168" t="s">
        <v>282</v>
      </c>
      <c r="C276" s="169" t="s">
        <v>283</v>
      </c>
      <c r="D276" s="170" t="s">
        <v>26</v>
      </c>
      <c r="E276" s="171"/>
      <c r="F276" s="172">
        <f t="shared" si="69"/>
        <v>1648.4</v>
      </c>
      <c r="G276" s="172">
        <f t="shared" si="69"/>
        <v>0</v>
      </c>
      <c r="H276" s="172">
        <f t="shared" si="69"/>
        <v>1648.4</v>
      </c>
      <c r="I276" s="188">
        <f t="shared" si="69"/>
        <v>0</v>
      </c>
      <c r="J276" s="189"/>
      <c r="K276" s="188">
        <f t="shared" si="69"/>
        <v>0</v>
      </c>
      <c r="L276" s="172">
        <f t="shared" si="69"/>
        <v>1648.4</v>
      </c>
      <c r="M276" s="172">
        <f t="shared" si="69"/>
        <v>0</v>
      </c>
      <c r="N276" s="172">
        <f t="shared" si="69"/>
        <v>1648.4</v>
      </c>
      <c r="O276" s="178">
        <f t="shared" si="53"/>
        <v>1648.4</v>
      </c>
      <c r="P276" s="92">
        <f t="shared" si="54"/>
        <v>0</v>
      </c>
    </row>
    <row r="277" spans="1:16" ht="18.75" x14ac:dyDescent="0.2">
      <c r="A277" s="42"/>
      <c r="B277" s="168" t="s">
        <v>278</v>
      </c>
      <c r="C277" s="169" t="s">
        <v>283</v>
      </c>
      <c r="D277" s="170" t="s">
        <v>279</v>
      </c>
      <c r="E277" s="171"/>
      <c r="F277" s="172">
        <v>1648.4</v>
      </c>
      <c r="G277" s="172"/>
      <c r="H277" s="172">
        <v>1648.4</v>
      </c>
      <c r="I277" s="188">
        <v>0</v>
      </c>
      <c r="J277" s="189"/>
      <c r="K277" s="188">
        <v>0</v>
      </c>
      <c r="L277" s="172">
        <f>SUM(F277)</f>
        <v>1648.4</v>
      </c>
      <c r="M277" s="273">
        <f>SUM(G277)</f>
        <v>0</v>
      </c>
      <c r="N277" s="172">
        <f>SUM(H277)</f>
        <v>1648.4</v>
      </c>
      <c r="O277" s="178">
        <f t="shared" si="53"/>
        <v>1648.4</v>
      </c>
      <c r="P277" s="92">
        <f t="shared" si="54"/>
        <v>0</v>
      </c>
    </row>
    <row r="278" spans="1:16" ht="0.75" customHeight="1" x14ac:dyDescent="0.2">
      <c r="A278" s="42"/>
      <c r="B278" s="168" t="s">
        <v>448</v>
      </c>
      <c r="C278" s="169" t="s">
        <v>422</v>
      </c>
      <c r="D278" s="170"/>
      <c r="E278" s="171"/>
      <c r="F278" s="172"/>
      <c r="G278" s="172"/>
      <c r="H278" s="172">
        <f>SUM(G278)</f>
        <v>0</v>
      </c>
      <c r="I278" s="188"/>
      <c r="J278" s="189"/>
      <c r="K278" s="188"/>
      <c r="L278" s="172"/>
      <c r="M278" s="172">
        <f t="shared" ref="M278:N281" si="70">SUM(G278)</f>
        <v>0</v>
      </c>
      <c r="N278" s="172">
        <f t="shared" si="70"/>
        <v>0</v>
      </c>
      <c r="O278" s="178">
        <f t="shared" si="53"/>
        <v>0</v>
      </c>
      <c r="P278" s="92">
        <f t="shared" si="54"/>
        <v>0</v>
      </c>
    </row>
    <row r="279" spans="1:16" ht="18.75" hidden="1" x14ac:dyDescent="0.2">
      <c r="A279" s="42"/>
      <c r="B279" s="168" t="s">
        <v>432</v>
      </c>
      <c r="C279" s="169" t="s">
        <v>433</v>
      </c>
      <c r="D279" s="170"/>
      <c r="E279" s="171"/>
      <c r="F279" s="172"/>
      <c r="G279" s="172"/>
      <c r="H279" s="172">
        <f>SUM(G279)</f>
        <v>0</v>
      </c>
      <c r="I279" s="188"/>
      <c r="J279" s="189"/>
      <c r="K279" s="188"/>
      <c r="L279" s="172"/>
      <c r="M279" s="172">
        <f t="shared" si="70"/>
        <v>0</v>
      </c>
      <c r="N279" s="172">
        <f t="shared" si="70"/>
        <v>0</v>
      </c>
      <c r="O279" s="178">
        <f t="shared" ref="O279:O342" si="71">L279+M279</f>
        <v>0</v>
      </c>
      <c r="P279" s="92">
        <f t="shared" ref="P279:P342" si="72">O279-N279</f>
        <v>0</v>
      </c>
    </row>
    <row r="280" spans="1:16" ht="31.5" hidden="1" x14ac:dyDescent="0.2">
      <c r="A280" s="42"/>
      <c r="B280" s="168" t="s">
        <v>434</v>
      </c>
      <c r="C280" s="169" t="s">
        <v>435</v>
      </c>
      <c r="D280" s="170"/>
      <c r="E280" s="171"/>
      <c r="F280" s="172"/>
      <c r="G280" s="172"/>
      <c r="H280" s="172">
        <f>SUM(G280)</f>
        <v>0</v>
      </c>
      <c r="I280" s="188"/>
      <c r="J280" s="189"/>
      <c r="K280" s="188"/>
      <c r="L280" s="172"/>
      <c r="M280" s="172">
        <f t="shared" si="70"/>
        <v>0</v>
      </c>
      <c r="N280" s="172">
        <f t="shared" si="70"/>
        <v>0</v>
      </c>
      <c r="O280" s="178">
        <f t="shared" si="71"/>
        <v>0</v>
      </c>
      <c r="P280" s="92">
        <f t="shared" si="72"/>
        <v>0</v>
      </c>
    </row>
    <row r="281" spans="1:16" ht="31.5" hidden="1" x14ac:dyDescent="0.2">
      <c r="A281" s="42"/>
      <c r="B281" s="168" t="s">
        <v>35</v>
      </c>
      <c r="C281" s="169" t="s">
        <v>435</v>
      </c>
      <c r="D281" s="170" t="s">
        <v>36</v>
      </c>
      <c r="E281" s="171"/>
      <c r="F281" s="172"/>
      <c r="G281" s="172"/>
      <c r="H281" s="172">
        <f>SUM(G281)</f>
        <v>0</v>
      </c>
      <c r="I281" s="188"/>
      <c r="J281" s="189"/>
      <c r="K281" s="188"/>
      <c r="L281" s="172"/>
      <c r="M281" s="172">
        <f t="shared" si="70"/>
        <v>0</v>
      </c>
      <c r="N281" s="172">
        <f t="shared" si="70"/>
        <v>0</v>
      </c>
      <c r="O281" s="178">
        <f t="shared" si="71"/>
        <v>0</v>
      </c>
      <c r="P281" s="92">
        <f t="shared" si="72"/>
        <v>0</v>
      </c>
    </row>
    <row r="282" spans="1:16" ht="18.75" x14ac:dyDescent="0.2">
      <c r="A282" s="49"/>
      <c r="B282" s="190" t="s">
        <v>284</v>
      </c>
      <c r="C282" s="191" t="s">
        <v>285</v>
      </c>
      <c r="D282" s="192" t="s">
        <v>26</v>
      </c>
      <c r="E282" s="193"/>
      <c r="F282" s="194">
        <f t="shared" ref="F282:N284" si="73">F283</f>
        <v>323.10000000000002</v>
      </c>
      <c r="G282" s="194">
        <f t="shared" si="73"/>
        <v>0</v>
      </c>
      <c r="H282" s="194">
        <f t="shared" si="73"/>
        <v>323.10000000000002</v>
      </c>
      <c r="I282" s="195">
        <f t="shared" si="73"/>
        <v>0</v>
      </c>
      <c r="J282" s="196"/>
      <c r="K282" s="195">
        <f t="shared" si="73"/>
        <v>0</v>
      </c>
      <c r="L282" s="194">
        <f t="shared" si="73"/>
        <v>323.10000000000002</v>
      </c>
      <c r="M282" s="194">
        <f t="shared" si="73"/>
        <v>0</v>
      </c>
      <c r="N282" s="272">
        <f t="shared" si="73"/>
        <v>323.10000000000002</v>
      </c>
      <c r="O282" s="178">
        <f t="shared" si="71"/>
        <v>323.10000000000002</v>
      </c>
      <c r="P282" s="92">
        <f t="shared" si="72"/>
        <v>0</v>
      </c>
    </row>
    <row r="283" spans="1:16" ht="31.5" x14ac:dyDescent="0.2">
      <c r="A283" s="42"/>
      <c r="B283" s="168" t="s">
        <v>286</v>
      </c>
      <c r="C283" s="169" t="s">
        <v>287</v>
      </c>
      <c r="D283" s="170" t="s">
        <v>26</v>
      </c>
      <c r="E283" s="171"/>
      <c r="F283" s="172">
        <f t="shared" si="73"/>
        <v>323.10000000000002</v>
      </c>
      <c r="G283" s="172">
        <f t="shared" si="73"/>
        <v>0</v>
      </c>
      <c r="H283" s="172">
        <f t="shared" si="73"/>
        <v>323.10000000000002</v>
      </c>
      <c r="I283" s="188">
        <f t="shared" si="73"/>
        <v>0</v>
      </c>
      <c r="J283" s="189"/>
      <c r="K283" s="188">
        <f t="shared" si="73"/>
        <v>0</v>
      </c>
      <c r="L283" s="172">
        <f t="shared" si="73"/>
        <v>323.10000000000002</v>
      </c>
      <c r="M283" s="172">
        <f t="shared" si="73"/>
        <v>0</v>
      </c>
      <c r="N283" s="172">
        <f t="shared" si="73"/>
        <v>323.10000000000002</v>
      </c>
      <c r="O283" s="178">
        <f t="shared" si="71"/>
        <v>323.10000000000002</v>
      </c>
      <c r="P283" s="92">
        <f t="shared" si="72"/>
        <v>0</v>
      </c>
    </row>
    <row r="284" spans="1:16" ht="18.75" x14ac:dyDescent="0.2">
      <c r="A284" s="42"/>
      <c r="B284" s="168" t="s">
        <v>288</v>
      </c>
      <c r="C284" s="169" t="s">
        <v>289</v>
      </c>
      <c r="D284" s="170" t="s">
        <v>26</v>
      </c>
      <c r="E284" s="171"/>
      <c r="F284" s="172">
        <f t="shared" si="73"/>
        <v>323.10000000000002</v>
      </c>
      <c r="G284" s="172">
        <f t="shared" si="73"/>
        <v>0</v>
      </c>
      <c r="H284" s="172">
        <f t="shared" si="73"/>
        <v>323.10000000000002</v>
      </c>
      <c r="I284" s="188">
        <f t="shared" si="73"/>
        <v>0</v>
      </c>
      <c r="J284" s="189"/>
      <c r="K284" s="188">
        <f t="shared" si="73"/>
        <v>0</v>
      </c>
      <c r="L284" s="172">
        <f t="shared" si="73"/>
        <v>323.10000000000002</v>
      </c>
      <c r="M284" s="172">
        <f t="shared" si="73"/>
        <v>0</v>
      </c>
      <c r="N284" s="172">
        <f t="shared" si="73"/>
        <v>323.10000000000002</v>
      </c>
      <c r="O284" s="178">
        <f t="shared" si="71"/>
        <v>323.10000000000002</v>
      </c>
      <c r="P284" s="92">
        <f t="shared" si="72"/>
        <v>0</v>
      </c>
    </row>
    <row r="285" spans="1:16" ht="31.5" x14ac:dyDescent="0.2">
      <c r="A285" s="42"/>
      <c r="B285" s="168" t="s">
        <v>35</v>
      </c>
      <c r="C285" s="169" t="s">
        <v>289</v>
      </c>
      <c r="D285" s="170" t="s">
        <v>36</v>
      </c>
      <c r="E285" s="171"/>
      <c r="F285" s="172">
        <v>323.10000000000002</v>
      </c>
      <c r="G285" s="172"/>
      <c r="H285" s="172">
        <f>F285+G285</f>
        <v>323.10000000000002</v>
      </c>
      <c r="I285" s="188">
        <v>0</v>
      </c>
      <c r="J285" s="189"/>
      <c r="K285" s="188">
        <v>0</v>
      </c>
      <c r="L285" s="172">
        <f>SUM(F285)</f>
        <v>323.10000000000002</v>
      </c>
      <c r="M285" s="172">
        <f>SUM(G285)</f>
        <v>0</v>
      </c>
      <c r="N285" s="172">
        <f>SUM(H285)</f>
        <v>323.10000000000002</v>
      </c>
      <c r="O285" s="178">
        <f t="shared" si="71"/>
        <v>323.10000000000002</v>
      </c>
      <c r="P285" s="92">
        <f t="shared" si="72"/>
        <v>0</v>
      </c>
    </row>
    <row r="286" spans="1:16" ht="24.6" customHeight="1" x14ac:dyDescent="0.2">
      <c r="A286" s="49"/>
      <c r="B286" s="190" t="s">
        <v>290</v>
      </c>
      <c r="C286" s="191" t="s">
        <v>291</v>
      </c>
      <c r="D286" s="192" t="s">
        <v>26</v>
      </c>
      <c r="E286" s="193"/>
      <c r="F286" s="194">
        <f>F287</f>
        <v>7061.7000000000007</v>
      </c>
      <c r="G286" s="194">
        <f>G287</f>
        <v>0</v>
      </c>
      <c r="H286" s="194">
        <f>H287</f>
        <v>7061.7000000000007</v>
      </c>
      <c r="I286" s="195">
        <f>I287</f>
        <v>0</v>
      </c>
      <c r="J286" s="196"/>
      <c r="K286" s="195">
        <f>K287</f>
        <v>0</v>
      </c>
      <c r="L286" s="194">
        <f>L287</f>
        <v>7061.7000000000007</v>
      </c>
      <c r="M286" s="194">
        <f>M287</f>
        <v>0</v>
      </c>
      <c r="N286" s="272">
        <f>N287</f>
        <v>7061.7000000000007</v>
      </c>
      <c r="O286" s="178">
        <f t="shared" si="71"/>
        <v>7061.7000000000007</v>
      </c>
      <c r="P286" s="92">
        <f t="shared" si="72"/>
        <v>0</v>
      </c>
    </row>
    <row r="287" spans="1:16" ht="36.6" customHeight="1" x14ac:dyDescent="0.2">
      <c r="A287" s="42"/>
      <c r="B287" s="168" t="s">
        <v>292</v>
      </c>
      <c r="C287" s="169" t="s">
        <v>293</v>
      </c>
      <c r="D287" s="170" t="s">
        <v>26</v>
      </c>
      <c r="E287" s="171"/>
      <c r="F287" s="172">
        <f>F288+F290</f>
        <v>7061.7000000000007</v>
      </c>
      <c r="G287" s="172">
        <f>G288+G290</f>
        <v>0</v>
      </c>
      <c r="H287" s="172">
        <f>H288+H290</f>
        <v>7061.7000000000007</v>
      </c>
      <c r="I287" s="188">
        <f>I288+I290</f>
        <v>0</v>
      </c>
      <c r="J287" s="189"/>
      <c r="K287" s="188">
        <f>K288+K290</f>
        <v>0</v>
      </c>
      <c r="L287" s="172">
        <f>L288+L290</f>
        <v>7061.7000000000007</v>
      </c>
      <c r="M287" s="172">
        <f>M288+M290</f>
        <v>0</v>
      </c>
      <c r="N287" s="172">
        <f>N288+N290</f>
        <v>7061.7000000000007</v>
      </c>
      <c r="O287" s="178">
        <f t="shared" si="71"/>
        <v>7061.7000000000007</v>
      </c>
      <c r="P287" s="92">
        <f t="shared" si="72"/>
        <v>0</v>
      </c>
    </row>
    <row r="288" spans="1:16" ht="22.15" customHeight="1" x14ac:dyDescent="0.2">
      <c r="A288" s="42"/>
      <c r="B288" s="168" t="s">
        <v>294</v>
      </c>
      <c r="C288" s="169" t="s">
        <v>295</v>
      </c>
      <c r="D288" s="170" t="s">
        <v>26</v>
      </c>
      <c r="E288" s="171"/>
      <c r="F288" s="172">
        <f>F289</f>
        <v>1520.6</v>
      </c>
      <c r="G288" s="172">
        <f>G289</f>
        <v>0</v>
      </c>
      <c r="H288" s="172">
        <f>H289</f>
        <v>1520.6</v>
      </c>
      <c r="I288" s="188">
        <f>I289</f>
        <v>0</v>
      </c>
      <c r="J288" s="189"/>
      <c r="K288" s="188">
        <f>K289</f>
        <v>0</v>
      </c>
      <c r="L288" s="172">
        <f>L289</f>
        <v>1520.6</v>
      </c>
      <c r="M288" s="172">
        <f>M289</f>
        <v>0</v>
      </c>
      <c r="N288" s="172">
        <f>N289</f>
        <v>1520.6</v>
      </c>
      <c r="O288" s="178">
        <f t="shared" si="71"/>
        <v>1520.6</v>
      </c>
      <c r="P288" s="92">
        <f t="shared" si="72"/>
        <v>0</v>
      </c>
    </row>
    <row r="289" spans="1:16" ht="31.5" x14ac:dyDescent="0.2">
      <c r="A289" s="42"/>
      <c r="B289" s="168" t="s">
        <v>35</v>
      </c>
      <c r="C289" s="169" t="s">
        <v>295</v>
      </c>
      <c r="D289" s="170" t="s">
        <v>36</v>
      </c>
      <c r="E289" s="171"/>
      <c r="F289" s="172">
        <v>1520.6</v>
      </c>
      <c r="G289" s="172"/>
      <c r="H289" s="172">
        <f>SUM(F289:G289)</f>
        <v>1520.6</v>
      </c>
      <c r="I289" s="188">
        <v>0</v>
      </c>
      <c r="J289" s="189"/>
      <c r="K289" s="188">
        <v>0</v>
      </c>
      <c r="L289" s="172">
        <f>SUM(F289)</f>
        <v>1520.6</v>
      </c>
      <c r="M289" s="172">
        <f>SUM(G289)</f>
        <v>0</v>
      </c>
      <c r="N289" s="172">
        <f>SUM(H289)</f>
        <v>1520.6</v>
      </c>
      <c r="O289" s="178">
        <f t="shared" si="71"/>
        <v>1520.6</v>
      </c>
      <c r="P289" s="92">
        <f t="shared" si="72"/>
        <v>0</v>
      </c>
    </row>
    <row r="290" spans="1:16" ht="52.15" customHeight="1" x14ac:dyDescent="0.2">
      <c r="A290" s="42"/>
      <c r="B290" s="168" t="s">
        <v>296</v>
      </c>
      <c r="C290" s="169" t="s">
        <v>297</v>
      </c>
      <c r="D290" s="170" t="s">
        <v>26</v>
      </c>
      <c r="E290" s="171"/>
      <c r="F290" s="172">
        <f>F291</f>
        <v>5541.1</v>
      </c>
      <c r="G290" s="172">
        <f>G291</f>
        <v>0</v>
      </c>
      <c r="H290" s="172">
        <f>H291</f>
        <v>5541.1</v>
      </c>
      <c r="I290" s="188">
        <f>I291</f>
        <v>0</v>
      </c>
      <c r="J290" s="189"/>
      <c r="K290" s="188">
        <f>K291</f>
        <v>0</v>
      </c>
      <c r="L290" s="172">
        <f>L291</f>
        <v>5541.1</v>
      </c>
      <c r="M290" s="172">
        <f>M291</f>
        <v>0</v>
      </c>
      <c r="N290" s="273">
        <f>N291</f>
        <v>5541.1</v>
      </c>
      <c r="O290" s="178">
        <f t="shared" si="71"/>
        <v>5541.1</v>
      </c>
      <c r="P290" s="92">
        <f t="shared" si="72"/>
        <v>0</v>
      </c>
    </row>
    <row r="291" spans="1:16" ht="18.75" x14ac:dyDescent="0.2">
      <c r="A291" s="42"/>
      <c r="B291" s="168" t="s">
        <v>278</v>
      </c>
      <c r="C291" s="169" t="s">
        <v>297</v>
      </c>
      <c r="D291" s="170" t="s">
        <v>279</v>
      </c>
      <c r="E291" s="171"/>
      <c r="F291" s="172">
        <v>5541.1</v>
      </c>
      <c r="G291" s="172"/>
      <c r="H291" s="172">
        <v>5541.1</v>
      </c>
      <c r="I291" s="188">
        <v>0</v>
      </c>
      <c r="J291" s="189"/>
      <c r="K291" s="188">
        <v>0</v>
      </c>
      <c r="L291" s="172">
        <f>SUM(F291)</f>
        <v>5541.1</v>
      </c>
      <c r="M291" s="172">
        <f>SUM(G291)</f>
        <v>0</v>
      </c>
      <c r="N291" s="273">
        <f>SUM(H291)</f>
        <v>5541.1</v>
      </c>
      <c r="O291" s="178">
        <f t="shared" si="71"/>
        <v>5541.1</v>
      </c>
      <c r="P291" s="92">
        <f t="shared" si="72"/>
        <v>0</v>
      </c>
    </row>
    <row r="292" spans="1:16" ht="18.75" x14ac:dyDescent="0.2">
      <c r="A292" s="49"/>
      <c r="B292" s="190" t="s">
        <v>298</v>
      </c>
      <c r="C292" s="191" t="s">
        <v>299</v>
      </c>
      <c r="D292" s="192" t="s">
        <v>26</v>
      </c>
      <c r="E292" s="193"/>
      <c r="F292" s="194">
        <f t="shared" ref="F292:N294" si="74">F293</f>
        <v>20</v>
      </c>
      <c r="G292" s="194">
        <f t="shared" si="74"/>
        <v>0</v>
      </c>
      <c r="H292" s="194">
        <f t="shared" si="74"/>
        <v>20</v>
      </c>
      <c r="I292" s="195">
        <f t="shared" si="74"/>
        <v>0</v>
      </c>
      <c r="J292" s="194">
        <f>J293</f>
        <v>0</v>
      </c>
      <c r="K292" s="195">
        <f t="shared" si="74"/>
        <v>0</v>
      </c>
      <c r="L292" s="194">
        <f t="shared" si="74"/>
        <v>20</v>
      </c>
      <c r="M292" s="194">
        <f t="shared" si="74"/>
        <v>0</v>
      </c>
      <c r="N292" s="272">
        <f t="shared" si="74"/>
        <v>20</v>
      </c>
      <c r="O292" s="178">
        <f t="shared" si="71"/>
        <v>20</v>
      </c>
      <c r="P292" s="92">
        <f t="shared" si="72"/>
        <v>0</v>
      </c>
    </row>
    <row r="293" spans="1:16" ht="31.5" x14ac:dyDescent="0.2">
      <c r="A293" s="42"/>
      <c r="B293" s="168" t="s">
        <v>300</v>
      </c>
      <c r="C293" s="169" t="s">
        <v>301</v>
      </c>
      <c r="D293" s="170" t="s">
        <v>26</v>
      </c>
      <c r="E293" s="171"/>
      <c r="F293" s="172">
        <f t="shared" si="74"/>
        <v>20</v>
      </c>
      <c r="G293" s="172">
        <f t="shared" si="74"/>
        <v>0</v>
      </c>
      <c r="H293" s="172">
        <f t="shared" si="74"/>
        <v>20</v>
      </c>
      <c r="I293" s="188">
        <f t="shared" si="74"/>
        <v>0</v>
      </c>
      <c r="J293" s="189"/>
      <c r="K293" s="188">
        <f t="shared" si="74"/>
        <v>0</v>
      </c>
      <c r="L293" s="172">
        <f t="shared" si="74"/>
        <v>20</v>
      </c>
      <c r="M293" s="172">
        <f t="shared" si="74"/>
        <v>0</v>
      </c>
      <c r="N293" s="172">
        <f t="shared" si="74"/>
        <v>20</v>
      </c>
      <c r="O293" s="178">
        <f t="shared" si="71"/>
        <v>20</v>
      </c>
      <c r="P293" s="92">
        <f t="shared" si="72"/>
        <v>0</v>
      </c>
    </row>
    <row r="294" spans="1:16" ht="18.75" x14ac:dyDescent="0.2">
      <c r="A294" s="42"/>
      <c r="B294" s="168" t="s">
        <v>302</v>
      </c>
      <c r="C294" s="169" t="s">
        <v>303</v>
      </c>
      <c r="D294" s="170" t="s">
        <v>26</v>
      </c>
      <c r="E294" s="171"/>
      <c r="F294" s="172">
        <f t="shared" si="74"/>
        <v>20</v>
      </c>
      <c r="G294" s="172">
        <f t="shared" si="74"/>
        <v>0</v>
      </c>
      <c r="H294" s="172">
        <f t="shared" si="74"/>
        <v>20</v>
      </c>
      <c r="I294" s="188">
        <f t="shared" si="74"/>
        <v>0</v>
      </c>
      <c r="J294" s="189"/>
      <c r="K294" s="188">
        <f t="shared" si="74"/>
        <v>0</v>
      </c>
      <c r="L294" s="172">
        <f t="shared" si="74"/>
        <v>20</v>
      </c>
      <c r="M294" s="172">
        <f t="shared" si="74"/>
        <v>0</v>
      </c>
      <c r="N294" s="172">
        <f t="shared" si="74"/>
        <v>20</v>
      </c>
      <c r="O294" s="178">
        <f t="shared" si="71"/>
        <v>20</v>
      </c>
      <c r="P294" s="92">
        <f t="shared" si="72"/>
        <v>0</v>
      </c>
    </row>
    <row r="295" spans="1:16" ht="31.5" x14ac:dyDescent="0.2">
      <c r="A295" s="42"/>
      <c r="B295" s="168" t="s">
        <v>35</v>
      </c>
      <c r="C295" s="169" t="s">
        <v>303</v>
      </c>
      <c r="D295" s="170" t="s">
        <v>36</v>
      </c>
      <c r="E295" s="171"/>
      <c r="F295" s="172">
        <v>20</v>
      </c>
      <c r="G295" s="172"/>
      <c r="H295" s="172">
        <v>20</v>
      </c>
      <c r="I295" s="188">
        <v>0</v>
      </c>
      <c r="J295" s="189"/>
      <c r="K295" s="188">
        <v>0</v>
      </c>
      <c r="L295" s="172">
        <v>20</v>
      </c>
      <c r="M295" s="172"/>
      <c r="N295" s="172">
        <v>20</v>
      </c>
      <c r="O295" s="178">
        <f t="shared" si="71"/>
        <v>20</v>
      </c>
      <c r="P295" s="92">
        <f t="shared" si="72"/>
        <v>0</v>
      </c>
    </row>
    <row r="296" spans="1:16" ht="18.75" x14ac:dyDescent="0.2">
      <c r="A296" s="49"/>
      <c r="B296" s="190" t="s">
        <v>140</v>
      </c>
      <c r="C296" s="191" t="s">
        <v>304</v>
      </c>
      <c r="D296" s="192" t="s">
        <v>26</v>
      </c>
      <c r="E296" s="193"/>
      <c r="F296" s="194">
        <f t="shared" ref="F296:M296" si="75">F297+F300</f>
        <v>3869.2</v>
      </c>
      <c r="G296" s="194">
        <f t="shared" si="75"/>
        <v>0</v>
      </c>
      <c r="H296" s="194">
        <f t="shared" si="75"/>
        <v>3869.2</v>
      </c>
      <c r="I296" s="195">
        <f t="shared" si="75"/>
        <v>0</v>
      </c>
      <c r="J296" s="194">
        <f t="shared" si="75"/>
        <v>0</v>
      </c>
      <c r="K296" s="195">
        <f t="shared" si="75"/>
        <v>0</v>
      </c>
      <c r="L296" s="194">
        <f t="shared" si="75"/>
        <v>3869.2</v>
      </c>
      <c r="M296" s="194">
        <f t="shared" si="75"/>
        <v>0</v>
      </c>
      <c r="N296" s="272">
        <f>N297+N300</f>
        <v>3869.2</v>
      </c>
      <c r="O296" s="178">
        <f t="shared" si="71"/>
        <v>3869.2</v>
      </c>
      <c r="P296" s="92">
        <f t="shared" si="72"/>
        <v>0</v>
      </c>
    </row>
    <row r="297" spans="1:16" ht="30.6" customHeight="1" x14ac:dyDescent="0.2">
      <c r="A297" s="42"/>
      <c r="B297" s="168" t="s">
        <v>305</v>
      </c>
      <c r="C297" s="169" t="s">
        <v>306</v>
      </c>
      <c r="D297" s="170" t="s">
        <v>26</v>
      </c>
      <c r="E297" s="171"/>
      <c r="F297" s="172">
        <f t="shared" ref="F297:N298" si="76">F298</f>
        <v>3774.2</v>
      </c>
      <c r="G297" s="172">
        <f t="shared" si="76"/>
        <v>0</v>
      </c>
      <c r="H297" s="172">
        <f t="shared" si="76"/>
        <v>3774.2</v>
      </c>
      <c r="I297" s="188">
        <f t="shared" si="76"/>
        <v>0</v>
      </c>
      <c r="J297" s="189"/>
      <c r="K297" s="188">
        <f t="shared" si="76"/>
        <v>0</v>
      </c>
      <c r="L297" s="172">
        <f t="shared" si="76"/>
        <v>3774.2</v>
      </c>
      <c r="M297" s="172">
        <f t="shared" si="76"/>
        <v>0</v>
      </c>
      <c r="N297" s="172">
        <f t="shared" si="76"/>
        <v>3774.2</v>
      </c>
      <c r="O297" s="178">
        <f t="shared" si="71"/>
        <v>3774.2</v>
      </c>
      <c r="P297" s="92">
        <f t="shared" si="72"/>
        <v>0</v>
      </c>
    </row>
    <row r="298" spans="1:16" ht="63" x14ac:dyDescent="0.2">
      <c r="A298" s="42"/>
      <c r="B298" s="168" t="s">
        <v>307</v>
      </c>
      <c r="C298" s="169" t="s">
        <v>308</v>
      </c>
      <c r="D298" s="170" t="s">
        <v>26</v>
      </c>
      <c r="E298" s="171"/>
      <c r="F298" s="172">
        <f t="shared" si="76"/>
        <v>3774.2</v>
      </c>
      <c r="G298" s="172">
        <f t="shared" si="76"/>
        <v>0</v>
      </c>
      <c r="H298" s="172">
        <f t="shared" si="76"/>
        <v>3774.2</v>
      </c>
      <c r="I298" s="188">
        <f t="shared" si="76"/>
        <v>0</v>
      </c>
      <c r="J298" s="189"/>
      <c r="K298" s="188">
        <f t="shared" si="76"/>
        <v>0</v>
      </c>
      <c r="L298" s="172">
        <f t="shared" si="76"/>
        <v>3774.2</v>
      </c>
      <c r="M298" s="172">
        <f t="shared" si="76"/>
        <v>0</v>
      </c>
      <c r="N298" s="172">
        <f t="shared" si="76"/>
        <v>3774.2</v>
      </c>
      <c r="O298" s="178">
        <f t="shared" si="71"/>
        <v>3774.2</v>
      </c>
      <c r="P298" s="92">
        <f t="shared" si="72"/>
        <v>0</v>
      </c>
    </row>
    <row r="299" spans="1:16" ht="18.75" x14ac:dyDescent="0.2">
      <c r="A299" s="42"/>
      <c r="B299" s="168" t="s">
        <v>278</v>
      </c>
      <c r="C299" s="169" t="s">
        <v>308</v>
      </c>
      <c r="D299" s="170" t="s">
        <v>279</v>
      </c>
      <c r="E299" s="171"/>
      <c r="F299" s="172">
        <v>3774.2</v>
      </c>
      <c r="G299" s="172"/>
      <c r="H299" s="172">
        <v>3774.2</v>
      </c>
      <c r="I299" s="188">
        <v>0</v>
      </c>
      <c r="J299" s="189"/>
      <c r="K299" s="188">
        <v>0</v>
      </c>
      <c r="L299" s="172">
        <f>SUM(F299)</f>
        <v>3774.2</v>
      </c>
      <c r="M299" s="172">
        <f>SUM(G299)</f>
        <v>0</v>
      </c>
      <c r="N299" s="172">
        <f>SUM(H299)</f>
        <v>3774.2</v>
      </c>
      <c r="O299" s="178">
        <f t="shared" si="71"/>
        <v>3774.2</v>
      </c>
      <c r="P299" s="92">
        <f t="shared" si="72"/>
        <v>0</v>
      </c>
    </row>
    <row r="300" spans="1:16" ht="47.25" x14ac:dyDescent="0.2">
      <c r="A300" s="42"/>
      <c r="B300" s="168" t="s">
        <v>309</v>
      </c>
      <c r="C300" s="169" t="s">
        <v>310</v>
      </c>
      <c r="D300" s="170" t="s">
        <v>26</v>
      </c>
      <c r="E300" s="171"/>
      <c r="F300" s="172">
        <f t="shared" ref="F300:N301" si="77">F301</f>
        <v>95</v>
      </c>
      <c r="G300" s="172">
        <f t="shared" si="77"/>
        <v>0</v>
      </c>
      <c r="H300" s="172">
        <f t="shared" si="77"/>
        <v>95</v>
      </c>
      <c r="I300" s="188">
        <f t="shared" si="77"/>
        <v>0</v>
      </c>
      <c r="J300" s="189"/>
      <c r="K300" s="188">
        <f t="shared" si="77"/>
        <v>0</v>
      </c>
      <c r="L300" s="172">
        <f t="shared" si="77"/>
        <v>95</v>
      </c>
      <c r="M300" s="172">
        <f t="shared" si="77"/>
        <v>0</v>
      </c>
      <c r="N300" s="172">
        <f t="shared" si="77"/>
        <v>95</v>
      </c>
      <c r="O300" s="178">
        <f t="shared" si="71"/>
        <v>95</v>
      </c>
      <c r="P300" s="92">
        <f t="shared" si="72"/>
        <v>0</v>
      </c>
    </row>
    <row r="301" spans="1:16" ht="18.75" x14ac:dyDescent="0.2">
      <c r="A301" s="42"/>
      <c r="B301" s="168" t="s">
        <v>311</v>
      </c>
      <c r="C301" s="169" t="s">
        <v>312</v>
      </c>
      <c r="D301" s="170" t="s">
        <v>26</v>
      </c>
      <c r="E301" s="171"/>
      <c r="F301" s="172">
        <f t="shared" si="77"/>
        <v>95</v>
      </c>
      <c r="G301" s="172">
        <f t="shared" si="77"/>
        <v>0</v>
      </c>
      <c r="H301" s="172">
        <f t="shared" si="77"/>
        <v>95</v>
      </c>
      <c r="I301" s="188">
        <f t="shared" si="77"/>
        <v>0</v>
      </c>
      <c r="J301" s="189"/>
      <c r="K301" s="188">
        <f t="shared" si="77"/>
        <v>0</v>
      </c>
      <c r="L301" s="172">
        <f t="shared" si="77"/>
        <v>95</v>
      </c>
      <c r="M301" s="172">
        <f t="shared" si="77"/>
        <v>0</v>
      </c>
      <c r="N301" s="172">
        <f t="shared" si="77"/>
        <v>95</v>
      </c>
      <c r="O301" s="178">
        <f t="shared" si="71"/>
        <v>95</v>
      </c>
      <c r="P301" s="92">
        <f t="shared" si="72"/>
        <v>0</v>
      </c>
    </row>
    <row r="302" spans="1:16" ht="30" customHeight="1" x14ac:dyDescent="0.2">
      <c r="A302" s="42"/>
      <c r="B302" s="168" t="s">
        <v>35</v>
      </c>
      <c r="C302" s="169" t="s">
        <v>312</v>
      </c>
      <c r="D302" s="170" t="s">
        <v>36</v>
      </c>
      <c r="E302" s="171"/>
      <c r="F302" s="172">
        <v>95</v>
      </c>
      <c r="G302" s="172"/>
      <c r="H302" s="172">
        <v>95</v>
      </c>
      <c r="I302" s="188">
        <v>0</v>
      </c>
      <c r="J302" s="189"/>
      <c r="K302" s="188">
        <v>0</v>
      </c>
      <c r="L302" s="172">
        <v>95</v>
      </c>
      <c r="M302" s="172"/>
      <c r="N302" s="172">
        <v>95</v>
      </c>
      <c r="O302" s="178">
        <f t="shared" si="71"/>
        <v>95</v>
      </c>
      <c r="P302" s="92">
        <f t="shared" si="72"/>
        <v>0</v>
      </c>
    </row>
    <row r="303" spans="1:16" ht="31.5" hidden="1" x14ac:dyDescent="0.2">
      <c r="A303" s="42"/>
      <c r="B303" s="168" t="s">
        <v>448</v>
      </c>
      <c r="C303" s="169" t="s">
        <v>422</v>
      </c>
      <c r="D303" s="170"/>
      <c r="E303" s="171"/>
      <c r="F303" s="172"/>
      <c r="G303" s="172"/>
      <c r="H303" s="172">
        <f>SUM(G303)</f>
        <v>0</v>
      </c>
      <c r="I303" s="188"/>
      <c r="J303" s="189"/>
      <c r="K303" s="188"/>
      <c r="L303" s="172"/>
      <c r="M303" s="172">
        <f>SUM(G303)</f>
        <v>0</v>
      </c>
      <c r="N303" s="172">
        <f>SUM(H303)</f>
        <v>0</v>
      </c>
      <c r="O303" s="178">
        <f t="shared" si="71"/>
        <v>0</v>
      </c>
      <c r="P303" s="92">
        <f t="shared" si="72"/>
        <v>0</v>
      </c>
    </row>
    <row r="304" spans="1:16" ht="18.75" hidden="1" x14ac:dyDescent="0.2">
      <c r="A304" s="42"/>
      <c r="B304" s="168" t="s">
        <v>432</v>
      </c>
      <c r="C304" s="169" t="s">
        <v>433</v>
      </c>
      <c r="D304" s="170"/>
      <c r="E304" s="171"/>
      <c r="F304" s="172"/>
      <c r="G304" s="172"/>
      <c r="H304" s="172">
        <f>SUM(G304)</f>
        <v>0</v>
      </c>
      <c r="I304" s="188"/>
      <c r="J304" s="189"/>
      <c r="K304" s="188"/>
      <c r="L304" s="172"/>
      <c r="M304" s="172">
        <f>SUM(G304)</f>
        <v>0</v>
      </c>
      <c r="N304" s="172" t="s">
        <v>447</v>
      </c>
      <c r="O304" s="178">
        <f t="shared" si="71"/>
        <v>0</v>
      </c>
      <c r="P304" s="92" t="e">
        <f t="shared" si="72"/>
        <v>#VALUE!</v>
      </c>
    </row>
    <row r="305" spans="1:16" ht="31.5" hidden="1" x14ac:dyDescent="0.2">
      <c r="A305" s="42"/>
      <c r="B305" s="168" t="s">
        <v>434</v>
      </c>
      <c r="C305" s="169" t="s">
        <v>435</v>
      </c>
      <c r="D305" s="170"/>
      <c r="E305" s="171"/>
      <c r="F305" s="172"/>
      <c r="G305" s="172"/>
      <c r="H305" s="172">
        <f>SUM(G305)</f>
        <v>0</v>
      </c>
      <c r="I305" s="188"/>
      <c r="J305" s="189"/>
      <c r="K305" s="188"/>
      <c r="L305" s="172"/>
      <c r="M305" s="172">
        <f>SUM(G306)</f>
        <v>0</v>
      </c>
      <c r="N305" s="172">
        <f>SUM(H306)</f>
        <v>0</v>
      </c>
      <c r="O305" s="178">
        <f t="shared" si="71"/>
        <v>0</v>
      </c>
      <c r="P305" s="92">
        <f t="shared" si="72"/>
        <v>0</v>
      </c>
    </row>
    <row r="306" spans="1:16" ht="31.5" hidden="1" x14ac:dyDescent="0.2">
      <c r="A306" s="42"/>
      <c r="B306" s="168" t="s">
        <v>35</v>
      </c>
      <c r="C306" s="169" t="s">
        <v>435</v>
      </c>
      <c r="D306" s="170" t="s">
        <v>36</v>
      </c>
      <c r="E306" s="171"/>
      <c r="F306" s="172"/>
      <c r="G306" s="172"/>
      <c r="H306" s="172">
        <f>SUM(G306)</f>
        <v>0</v>
      </c>
      <c r="I306" s="188"/>
      <c r="J306" s="189"/>
      <c r="K306" s="188"/>
      <c r="L306" s="172"/>
      <c r="M306" s="172">
        <f>SUM(G306)</f>
        <v>0</v>
      </c>
      <c r="N306" s="172">
        <f>SUM(H306)</f>
        <v>0</v>
      </c>
      <c r="O306" s="178">
        <f t="shared" si="71"/>
        <v>0</v>
      </c>
      <c r="P306" s="92">
        <f t="shared" si="72"/>
        <v>0</v>
      </c>
    </row>
    <row r="307" spans="1:16" ht="47.25" x14ac:dyDescent="0.2">
      <c r="A307" s="19" t="s">
        <v>313</v>
      </c>
      <c r="B307" s="182" t="s">
        <v>314</v>
      </c>
      <c r="C307" s="183" t="s">
        <v>315</v>
      </c>
      <c r="D307" s="184" t="s">
        <v>26</v>
      </c>
      <c r="E307" s="185"/>
      <c r="F307" s="186">
        <f t="shared" ref="F307:N307" si="78">F308+F318+F323</f>
        <v>7888.4</v>
      </c>
      <c r="G307" s="186">
        <f t="shared" si="78"/>
        <v>0</v>
      </c>
      <c r="H307" s="186">
        <f t="shared" si="78"/>
        <v>7888.4</v>
      </c>
      <c r="I307" s="187">
        <f t="shared" si="78"/>
        <v>700</v>
      </c>
      <c r="J307" s="186">
        <f t="shared" si="78"/>
        <v>0</v>
      </c>
      <c r="K307" s="187">
        <f t="shared" si="78"/>
        <v>700</v>
      </c>
      <c r="L307" s="186">
        <f t="shared" si="78"/>
        <v>8588.4</v>
      </c>
      <c r="M307" s="186">
        <f t="shared" si="78"/>
        <v>0</v>
      </c>
      <c r="N307" s="186">
        <f t="shared" si="78"/>
        <v>8588.4</v>
      </c>
      <c r="O307" s="178">
        <f t="shared" si="71"/>
        <v>8588.4</v>
      </c>
      <c r="P307" s="92">
        <f t="shared" si="72"/>
        <v>0</v>
      </c>
    </row>
    <row r="308" spans="1:16" ht="31.5" x14ac:dyDescent="0.2">
      <c r="A308" s="49"/>
      <c r="B308" s="190" t="s">
        <v>316</v>
      </c>
      <c r="C308" s="191" t="s">
        <v>317</v>
      </c>
      <c r="D308" s="192" t="s">
        <v>26</v>
      </c>
      <c r="E308" s="193"/>
      <c r="F308" s="194">
        <f t="shared" ref="F308:N308" si="79">F309</f>
        <v>2628.4</v>
      </c>
      <c r="G308" s="194">
        <f t="shared" si="79"/>
        <v>0</v>
      </c>
      <c r="H308" s="194">
        <f t="shared" si="79"/>
        <v>2628.4</v>
      </c>
      <c r="I308" s="195">
        <f t="shared" si="79"/>
        <v>600</v>
      </c>
      <c r="J308" s="194">
        <f t="shared" si="79"/>
        <v>0</v>
      </c>
      <c r="K308" s="195">
        <f t="shared" si="79"/>
        <v>600</v>
      </c>
      <c r="L308" s="194">
        <f t="shared" si="79"/>
        <v>3228.4</v>
      </c>
      <c r="M308" s="194">
        <f t="shared" si="79"/>
        <v>0</v>
      </c>
      <c r="N308" s="194">
        <f t="shared" si="79"/>
        <v>3228.4</v>
      </c>
      <c r="O308" s="178">
        <f t="shared" si="71"/>
        <v>3228.4</v>
      </c>
      <c r="P308" s="92">
        <f t="shared" si="72"/>
        <v>0</v>
      </c>
    </row>
    <row r="309" spans="1:16" ht="31.5" x14ac:dyDescent="0.2">
      <c r="A309" s="42"/>
      <c r="B309" s="168" t="s">
        <v>318</v>
      </c>
      <c r="C309" s="169" t="s">
        <v>319</v>
      </c>
      <c r="D309" s="170" t="s">
        <v>26</v>
      </c>
      <c r="E309" s="171"/>
      <c r="F309" s="172">
        <f>F310+F313</f>
        <v>2628.4</v>
      </c>
      <c r="G309" s="172">
        <f>G310+G313</f>
        <v>0</v>
      </c>
      <c r="H309" s="172">
        <f>H310+H313</f>
        <v>2628.4</v>
      </c>
      <c r="I309" s="188">
        <f>I310+I313+I316</f>
        <v>600</v>
      </c>
      <c r="J309" s="189">
        <f>SUM(J316)</f>
        <v>0</v>
      </c>
      <c r="K309" s="189">
        <f>SUM(K316)</f>
        <v>600</v>
      </c>
      <c r="L309" s="172">
        <f>L310+L313+I309</f>
        <v>3228.4</v>
      </c>
      <c r="M309" s="189">
        <f>SUM(M316)+M310+M313</f>
        <v>0</v>
      </c>
      <c r="N309" s="172">
        <f>N310+N313+K309</f>
        <v>3228.4</v>
      </c>
      <c r="O309" s="178">
        <f t="shared" si="71"/>
        <v>3228.4</v>
      </c>
      <c r="P309" s="92">
        <f t="shared" si="72"/>
        <v>0</v>
      </c>
    </row>
    <row r="310" spans="1:16" ht="31.5" x14ac:dyDescent="0.2">
      <c r="A310" s="42"/>
      <c r="B310" s="168" t="s">
        <v>316</v>
      </c>
      <c r="C310" s="169" t="s">
        <v>320</v>
      </c>
      <c r="D310" s="170" t="s">
        <v>26</v>
      </c>
      <c r="E310" s="171"/>
      <c r="F310" s="172">
        <f>F312+F311</f>
        <v>2318.4</v>
      </c>
      <c r="G310" s="172">
        <f>G312</f>
        <v>0</v>
      </c>
      <c r="H310" s="172">
        <f>H312+H311</f>
        <v>2318.4</v>
      </c>
      <c r="I310" s="188">
        <f>I312</f>
        <v>0</v>
      </c>
      <c r="J310" s="189"/>
      <c r="K310" s="188">
        <f>K312</f>
        <v>0</v>
      </c>
      <c r="L310" s="172">
        <f>L312+L311</f>
        <v>2318.4</v>
      </c>
      <c r="M310" s="172">
        <f>M312</f>
        <v>0</v>
      </c>
      <c r="N310" s="172">
        <f>N312+N311</f>
        <v>2318.4</v>
      </c>
      <c r="O310" s="178">
        <f t="shared" si="71"/>
        <v>2318.4</v>
      </c>
      <c r="P310" s="92">
        <f t="shared" si="72"/>
        <v>0</v>
      </c>
    </row>
    <row r="311" spans="1:16" ht="31.5" x14ac:dyDescent="0.2">
      <c r="A311" s="42"/>
      <c r="B311" s="168" t="s">
        <v>35</v>
      </c>
      <c r="C311" s="169" t="s">
        <v>320</v>
      </c>
      <c r="D311" s="170" t="s">
        <v>36</v>
      </c>
      <c r="E311" s="171"/>
      <c r="F311" s="172">
        <v>232.4</v>
      </c>
      <c r="G311" s="172"/>
      <c r="H311" s="172">
        <f>SUM(F311)</f>
        <v>232.4</v>
      </c>
      <c r="I311" s="188"/>
      <c r="J311" s="189"/>
      <c r="K311" s="188"/>
      <c r="L311" s="172">
        <f>SUM(F311)</f>
        <v>232.4</v>
      </c>
      <c r="M311" s="172"/>
      <c r="N311" s="172">
        <f>SUM(H311)</f>
        <v>232.4</v>
      </c>
      <c r="O311" s="178">
        <f t="shared" si="71"/>
        <v>232.4</v>
      </c>
      <c r="P311" s="92">
        <f t="shared" si="72"/>
        <v>0</v>
      </c>
    </row>
    <row r="312" spans="1:16" ht="18.75" x14ac:dyDescent="0.2">
      <c r="A312" s="42"/>
      <c r="B312" s="168" t="s">
        <v>54</v>
      </c>
      <c r="C312" s="169" t="s">
        <v>320</v>
      </c>
      <c r="D312" s="170" t="s">
        <v>55</v>
      </c>
      <c r="E312" s="171"/>
      <c r="F312" s="172">
        <v>2086</v>
      </c>
      <c r="G312" s="172"/>
      <c r="H312" s="172">
        <f>SUM(F312:G312)</f>
        <v>2086</v>
      </c>
      <c r="I312" s="188">
        <v>0</v>
      </c>
      <c r="J312" s="189"/>
      <c r="K312" s="188">
        <v>0</v>
      </c>
      <c r="L312" s="172">
        <f>SUM(F312)</f>
        <v>2086</v>
      </c>
      <c r="M312" s="172">
        <f>G312+J312</f>
        <v>0</v>
      </c>
      <c r="N312" s="172">
        <f>SUM(L312:M312)</f>
        <v>2086</v>
      </c>
      <c r="O312" s="178">
        <f t="shared" si="71"/>
        <v>2086</v>
      </c>
      <c r="P312" s="92">
        <f t="shared" si="72"/>
        <v>0</v>
      </c>
    </row>
    <row r="313" spans="1:16" ht="31.5" x14ac:dyDescent="0.2">
      <c r="A313" s="42"/>
      <c r="B313" s="168" t="s">
        <v>321</v>
      </c>
      <c r="C313" s="169" t="s">
        <v>322</v>
      </c>
      <c r="D313" s="170" t="s">
        <v>26</v>
      </c>
      <c r="E313" s="171"/>
      <c r="F313" s="172">
        <f>F314+F315</f>
        <v>310</v>
      </c>
      <c r="G313" s="172">
        <f>G314+G315</f>
        <v>0</v>
      </c>
      <c r="H313" s="172">
        <f>H314+H315</f>
        <v>310</v>
      </c>
      <c r="I313" s="188">
        <f>I314+I315</f>
        <v>0</v>
      </c>
      <c r="J313" s="189"/>
      <c r="K313" s="188">
        <f>K314+K315</f>
        <v>0</v>
      </c>
      <c r="L313" s="172">
        <f>L314+L315</f>
        <v>310</v>
      </c>
      <c r="M313" s="172">
        <f>M314+M315</f>
        <v>0</v>
      </c>
      <c r="N313" s="172">
        <f>N314+N315</f>
        <v>310</v>
      </c>
      <c r="O313" s="178">
        <f t="shared" si="71"/>
        <v>310</v>
      </c>
      <c r="P313" s="92">
        <f t="shared" si="72"/>
        <v>0</v>
      </c>
    </row>
    <row r="314" spans="1:16" ht="31.5" x14ac:dyDescent="0.2">
      <c r="A314" s="42"/>
      <c r="B314" s="168" t="s">
        <v>35</v>
      </c>
      <c r="C314" s="169" t="s">
        <v>322</v>
      </c>
      <c r="D314" s="170" t="s">
        <v>36</v>
      </c>
      <c r="E314" s="171"/>
      <c r="F314" s="172">
        <v>300</v>
      </c>
      <c r="G314" s="172"/>
      <c r="H314" s="172">
        <v>300</v>
      </c>
      <c r="I314" s="188">
        <v>0</v>
      </c>
      <c r="J314" s="189"/>
      <c r="K314" s="188">
        <v>0</v>
      </c>
      <c r="L314" s="172">
        <v>300</v>
      </c>
      <c r="M314" s="172"/>
      <c r="N314" s="172">
        <v>300</v>
      </c>
      <c r="O314" s="178">
        <f t="shared" si="71"/>
        <v>300</v>
      </c>
      <c r="P314" s="92">
        <f t="shared" si="72"/>
        <v>0</v>
      </c>
    </row>
    <row r="315" spans="1:16" ht="18.75" x14ac:dyDescent="0.2">
      <c r="A315" s="42"/>
      <c r="B315" s="168" t="s">
        <v>54</v>
      </c>
      <c r="C315" s="169" t="s">
        <v>322</v>
      </c>
      <c r="D315" s="170" t="s">
        <v>55</v>
      </c>
      <c r="E315" s="171"/>
      <c r="F315" s="172">
        <v>10</v>
      </c>
      <c r="G315" s="172"/>
      <c r="H315" s="172">
        <v>10</v>
      </c>
      <c r="I315" s="188">
        <v>0</v>
      </c>
      <c r="J315" s="189"/>
      <c r="K315" s="188">
        <v>0</v>
      </c>
      <c r="L315" s="172">
        <v>10</v>
      </c>
      <c r="M315" s="172"/>
      <c r="N315" s="172">
        <v>10</v>
      </c>
      <c r="O315" s="178">
        <f t="shared" si="71"/>
        <v>10</v>
      </c>
      <c r="P315" s="92">
        <f t="shared" si="72"/>
        <v>0</v>
      </c>
    </row>
    <row r="316" spans="1:16" ht="31.5" x14ac:dyDescent="0.2">
      <c r="A316" s="42"/>
      <c r="B316" s="168" t="s">
        <v>468</v>
      </c>
      <c r="C316" s="169" t="s">
        <v>466</v>
      </c>
      <c r="D316" s="170"/>
      <c r="E316" s="171"/>
      <c r="F316" s="172"/>
      <c r="G316" s="172"/>
      <c r="H316" s="172"/>
      <c r="I316" s="188">
        <v>600</v>
      </c>
      <c r="J316" s="189">
        <f>SUM(J317)</f>
        <v>0</v>
      </c>
      <c r="K316" s="189">
        <f>SUM(K317)</f>
        <v>600</v>
      </c>
      <c r="L316" s="172">
        <f t="shared" ref="L316:N317" si="80">SUM(I316)</f>
        <v>600</v>
      </c>
      <c r="M316" s="172">
        <f t="shared" si="80"/>
        <v>0</v>
      </c>
      <c r="N316" s="172">
        <f t="shared" si="80"/>
        <v>600</v>
      </c>
      <c r="O316" s="178">
        <f t="shared" si="71"/>
        <v>600</v>
      </c>
      <c r="P316" s="92">
        <f t="shared" si="72"/>
        <v>0</v>
      </c>
    </row>
    <row r="317" spans="1:16" ht="31.5" x14ac:dyDescent="0.2">
      <c r="A317" s="42"/>
      <c r="B317" s="168" t="s">
        <v>35</v>
      </c>
      <c r="C317" s="169" t="s">
        <v>466</v>
      </c>
      <c r="D317" s="170" t="s">
        <v>36</v>
      </c>
      <c r="E317" s="171"/>
      <c r="F317" s="172"/>
      <c r="G317" s="172"/>
      <c r="H317" s="172"/>
      <c r="I317" s="188">
        <v>600</v>
      </c>
      <c r="J317" s="189"/>
      <c r="K317" s="188">
        <f>SUM(I317)</f>
        <v>600</v>
      </c>
      <c r="L317" s="172">
        <f t="shared" si="80"/>
        <v>600</v>
      </c>
      <c r="M317" s="172">
        <f t="shared" si="80"/>
        <v>0</v>
      </c>
      <c r="N317" s="172">
        <f t="shared" si="80"/>
        <v>600</v>
      </c>
      <c r="O317" s="178">
        <f t="shared" si="71"/>
        <v>600</v>
      </c>
      <c r="P317" s="92">
        <f t="shared" si="72"/>
        <v>0</v>
      </c>
    </row>
    <row r="318" spans="1:16" ht="31.5" x14ac:dyDescent="0.2">
      <c r="A318" s="49"/>
      <c r="B318" s="190" t="s">
        <v>323</v>
      </c>
      <c r="C318" s="191" t="s">
        <v>324</v>
      </c>
      <c r="D318" s="192" t="s">
        <v>26</v>
      </c>
      <c r="E318" s="193"/>
      <c r="F318" s="194">
        <f t="shared" ref="F318:N320" si="81">F319</f>
        <v>150</v>
      </c>
      <c r="G318" s="194">
        <f t="shared" si="81"/>
        <v>0</v>
      </c>
      <c r="H318" s="194">
        <f t="shared" si="81"/>
        <v>150</v>
      </c>
      <c r="I318" s="195">
        <f t="shared" si="81"/>
        <v>0</v>
      </c>
      <c r="J318" s="194">
        <f>J319</f>
        <v>0</v>
      </c>
      <c r="K318" s="195">
        <f t="shared" si="81"/>
        <v>0</v>
      </c>
      <c r="L318" s="194">
        <f t="shared" si="81"/>
        <v>150</v>
      </c>
      <c r="M318" s="194">
        <f t="shared" si="81"/>
        <v>0</v>
      </c>
      <c r="N318" s="194">
        <f t="shared" si="81"/>
        <v>150</v>
      </c>
      <c r="O318" s="178">
        <f t="shared" si="71"/>
        <v>150</v>
      </c>
      <c r="P318" s="92">
        <f t="shared" si="72"/>
        <v>0</v>
      </c>
    </row>
    <row r="319" spans="1:16" ht="47.25" x14ac:dyDescent="0.2">
      <c r="A319" s="42"/>
      <c r="B319" s="168" t="s">
        <v>325</v>
      </c>
      <c r="C319" s="169" t="s">
        <v>326</v>
      </c>
      <c r="D319" s="170" t="s">
        <v>26</v>
      </c>
      <c r="E319" s="171"/>
      <c r="F319" s="172">
        <f t="shared" si="81"/>
        <v>150</v>
      </c>
      <c r="G319" s="172">
        <f t="shared" si="81"/>
        <v>0</v>
      </c>
      <c r="H319" s="172">
        <f t="shared" si="81"/>
        <v>150</v>
      </c>
      <c r="I319" s="188">
        <f t="shared" si="81"/>
        <v>0</v>
      </c>
      <c r="J319" s="189"/>
      <c r="K319" s="188">
        <f t="shared" si="81"/>
        <v>0</v>
      </c>
      <c r="L319" s="172">
        <f t="shared" si="81"/>
        <v>150</v>
      </c>
      <c r="M319" s="172">
        <f t="shared" si="81"/>
        <v>0</v>
      </c>
      <c r="N319" s="172">
        <f t="shared" si="81"/>
        <v>150</v>
      </c>
      <c r="O319" s="178">
        <f t="shared" si="71"/>
        <v>150</v>
      </c>
      <c r="P319" s="92">
        <f t="shared" si="72"/>
        <v>0</v>
      </c>
    </row>
    <row r="320" spans="1:16" ht="33" customHeight="1" x14ac:dyDescent="0.2">
      <c r="A320" s="42"/>
      <c r="B320" s="168" t="s">
        <v>327</v>
      </c>
      <c r="C320" s="169" t="s">
        <v>328</v>
      </c>
      <c r="D320" s="170" t="s">
        <v>26</v>
      </c>
      <c r="E320" s="171"/>
      <c r="F320" s="172">
        <f t="shared" si="81"/>
        <v>150</v>
      </c>
      <c r="G320" s="172">
        <f t="shared" si="81"/>
        <v>0</v>
      </c>
      <c r="H320" s="172">
        <f t="shared" si="81"/>
        <v>150</v>
      </c>
      <c r="I320" s="188">
        <f t="shared" si="81"/>
        <v>0</v>
      </c>
      <c r="J320" s="189"/>
      <c r="K320" s="188">
        <f t="shared" si="81"/>
        <v>0</v>
      </c>
      <c r="L320" s="172">
        <f t="shared" si="81"/>
        <v>150</v>
      </c>
      <c r="M320" s="172">
        <f t="shared" si="81"/>
        <v>0</v>
      </c>
      <c r="N320" s="172">
        <f t="shared" si="81"/>
        <v>150</v>
      </c>
      <c r="O320" s="178">
        <f t="shared" si="71"/>
        <v>150</v>
      </c>
      <c r="P320" s="92">
        <f t="shared" si="72"/>
        <v>0</v>
      </c>
    </row>
    <row r="321" spans="1:16" ht="31.5" x14ac:dyDescent="0.2">
      <c r="A321" s="42"/>
      <c r="B321" s="168" t="s">
        <v>35</v>
      </c>
      <c r="C321" s="169" t="s">
        <v>328</v>
      </c>
      <c r="D321" s="170" t="s">
        <v>36</v>
      </c>
      <c r="E321" s="171"/>
      <c r="F321" s="172">
        <v>150</v>
      </c>
      <c r="G321" s="172"/>
      <c r="H321" s="172">
        <v>150</v>
      </c>
      <c r="I321" s="188">
        <v>0</v>
      </c>
      <c r="J321" s="189"/>
      <c r="K321" s="188">
        <v>0</v>
      </c>
      <c r="L321" s="172">
        <v>150</v>
      </c>
      <c r="M321" s="172"/>
      <c r="N321" s="172">
        <v>150</v>
      </c>
      <c r="O321" s="178">
        <f t="shared" si="71"/>
        <v>150</v>
      </c>
      <c r="P321" s="92">
        <f t="shared" si="72"/>
        <v>0</v>
      </c>
    </row>
    <row r="322" spans="1:16" ht="18.75" hidden="1" x14ac:dyDescent="0.2">
      <c r="A322" s="42"/>
      <c r="B322" s="168"/>
      <c r="C322" s="169"/>
      <c r="D322" s="170"/>
      <c r="E322" s="171"/>
      <c r="F322" s="172"/>
      <c r="G322" s="172"/>
      <c r="H322" s="172"/>
      <c r="I322" s="188"/>
      <c r="J322" s="189"/>
      <c r="K322" s="189"/>
      <c r="L322" s="172"/>
      <c r="M322" s="172"/>
      <c r="N322" s="172"/>
      <c r="O322" s="178">
        <f t="shared" si="71"/>
        <v>0</v>
      </c>
      <c r="P322" s="92">
        <f t="shared" si="72"/>
        <v>0</v>
      </c>
    </row>
    <row r="323" spans="1:16" ht="31.5" x14ac:dyDescent="0.2">
      <c r="A323" s="49"/>
      <c r="B323" s="190" t="s">
        <v>329</v>
      </c>
      <c r="C323" s="191" t="s">
        <v>330</v>
      </c>
      <c r="D323" s="192" t="s">
        <v>26</v>
      </c>
      <c r="E323" s="193"/>
      <c r="F323" s="194">
        <f t="shared" ref="F323:N324" si="82">F324</f>
        <v>5110</v>
      </c>
      <c r="G323" s="194">
        <f t="shared" si="82"/>
        <v>0</v>
      </c>
      <c r="H323" s="194">
        <f t="shared" si="82"/>
        <v>5110</v>
      </c>
      <c r="I323" s="195">
        <f>I324+I328</f>
        <v>100</v>
      </c>
      <c r="J323" s="194">
        <f>SUM(J328)</f>
        <v>0</v>
      </c>
      <c r="K323" s="194">
        <f>SUM(K328)</f>
        <v>100</v>
      </c>
      <c r="L323" s="194">
        <f>L324+I323</f>
        <v>5210</v>
      </c>
      <c r="M323" s="194">
        <f>M324+M328</f>
        <v>0</v>
      </c>
      <c r="N323" s="194">
        <f>N324+K323</f>
        <v>5210</v>
      </c>
      <c r="O323" s="178">
        <f t="shared" si="71"/>
        <v>5210</v>
      </c>
      <c r="P323" s="92">
        <f t="shared" si="72"/>
        <v>0</v>
      </c>
    </row>
    <row r="324" spans="1:16" ht="96" customHeight="1" x14ac:dyDescent="0.2">
      <c r="A324" s="42"/>
      <c r="B324" s="214" t="s">
        <v>331</v>
      </c>
      <c r="C324" s="169" t="s">
        <v>332</v>
      </c>
      <c r="D324" s="170" t="s">
        <v>26</v>
      </c>
      <c r="E324" s="171"/>
      <c r="F324" s="172">
        <f t="shared" si="82"/>
        <v>5110</v>
      </c>
      <c r="G324" s="172">
        <f t="shared" si="82"/>
        <v>0</v>
      </c>
      <c r="H324" s="172">
        <f t="shared" si="82"/>
        <v>5110</v>
      </c>
      <c r="I324" s="188">
        <f t="shared" si="82"/>
        <v>0</v>
      </c>
      <c r="J324" s="189"/>
      <c r="K324" s="188">
        <f t="shared" si="82"/>
        <v>0</v>
      </c>
      <c r="L324" s="172">
        <f t="shared" si="82"/>
        <v>5110</v>
      </c>
      <c r="M324" s="172">
        <f t="shared" si="82"/>
        <v>0</v>
      </c>
      <c r="N324" s="172">
        <f t="shared" si="82"/>
        <v>5110</v>
      </c>
      <c r="O324" s="178">
        <f t="shared" si="71"/>
        <v>5110</v>
      </c>
      <c r="P324" s="92">
        <f t="shared" si="72"/>
        <v>0</v>
      </c>
    </row>
    <row r="325" spans="1:16" ht="31.5" x14ac:dyDescent="0.2">
      <c r="A325" s="42"/>
      <c r="B325" s="168" t="s">
        <v>333</v>
      </c>
      <c r="C325" s="169" t="s">
        <v>334</v>
      </c>
      <c r="D325" s="170" t="s">
        <v>26</v>
      </c>
      <c r="E325" s="171"/>
      <c r="F325" s="172">
        <f>F326+F327</f>
        <v>5110</v>
      </c>
      <c r="G325" s="172">
        <f>G326+G327</f>
        <v>0</v>
      </c>
      <c r="H325" s="172">
        <f>H326+H327</f>
        <v>5110</v>
      </c>
      <c r="I325" s="188">
        <f>I326+I327</f>
        <v>0</v>
      </c>
      <c r="J325" s="189"/>
      <c r="K325" s="188">
        <f>K326+K327</f>
        <v>0</v>
      </c>
      <c r="L325" s="172">
        <f>L326+L327</f>
        <v>5110</v>
      </c>
      <c r="M325" s="172">
        <f>M326+M327</f>
        <v>0</v>
      </c>
      <c r="N325" s="172">
        <f>SUM(H325)</f>
        <v>5110</v>
      </c>
      <c r="O325" s="178">
        <f t="shared" si="71"/>
        <v>5110</v>
      </c>
      <c r="P325" s="92">
        <f t="shared" si="72"/>
        <v>0</v>
      </c>
    </row>
    <row r="326" spans="1:16" ht="31.5" x14ac:dyDescent="0.2">
      <c r="A326" s="42"/>
      <c r="B326" s="168" t="s">
        <v>35</v>
      </c>
      <c r="C326" s="169" t="s">
        <v>334</v>
      </c>
      <c r="D326" s="170" t="s">
        <v>36</v>
      </c>
      <c r="E326" s="171"/>
      <c r="F326" s="172">
        <v>5046.8</v>
      </c>
      <c r="G326" s="172"/>
      <c r="H326" s="172">
        <f>SUM(F326:G326)</f>
        <v>5046.8</v>
      </c>
      <c r="I326" s="188">
        <v>0</v>
      </c>
      <c r="J326" s="189"/>
      <c r="K326" s="188">
        <v>0</v>
      </c>
      <c r="L326" s="172">
        <f>SUM(F326)</f>
        <v>5046.8</v>
      </c>
      <c r="M326" s="172">
        <f>SUM(G326)</f>
        <v>0</v>
      </c>
      <c r="N326" s="172">
        <f>SUM(L326:M326)</f>
        <v>5046.8</v>
      </c>
      <c r="O326" s="178">
        <f t="shared" si="71"/>
        <v>5046.8</v>
      </c>
      <c r="P326" s="92">
        <f t="shared" si="72"/>
        <v>0</v>
      </c>
    </row>
    <row r="327" spans="1:16" ht="18.75" x14ac:dyDescent="0.2">
      <c r="A327" s="42"/>
      <c r="B327" s="168" t="s">
        <v>41</v>
      </c>
      <c r="C327" s="169" t="s">
        <v>334</v>
      </c>
      <c r="D327" s="170" t="s">
        <v>42</v>
      </c>
      <c r="E327" s="171"/>
      <c r="F327" s="172">
        <v>63.2</v>
      </c>
      <c r="G327" s="172"/>
      <c r="H327" s="172">
        <v>63.2</v>
      </c>
      <c r="I327" s="188">
        <v>0</v>
      </c>
      <c r="J327" s="189"/>
      <c r="K327" s="188">
        <v>0</v>
      </c>
      <c r="L327" s="172">
        <v>63.2</v>
      </c>
      <c r="M327" s="172"/>
      <c r="N327" s="172">
        <v>63.2</v>
      </c>
      <c r="O327" s="178">
        <f t="shared" si="71"/>
        <v>63.2</v>
      </c>
      <c r="P327" s="92">
        <f t="shared" si="72"/>
        <v>0</v>
      </c>
    </row>
    <row r="328" spans="1:16" ht="47.25" x14ac:dyDescent="0.2">
      <c r="A328" s="42"/>
      <c r="B328" s="168" t="s">
        <v>465</v>
      </c>
      <c r="C328" s="169" t="s">
        <v>463</v>
      </c>
      <c r="D328" s="170"/>
      <c r="E328" s="171"/>
      <c r="F328" s="172"/>
      <c r="G328" s="172"/>
      <c r="H328" s="172"/>
      <c r="I328" s="188">
        <f>SUM(I329)</f>
        <v>100</v>
      </c>
      <c r="J328" s="189">
        <f>SUM(J329)</f>
        <v>0</v>
      </c>
      <c r="K328" s="189">
        <f>SUM(K329)</f>
        <v>100</v>
      </c>
      <c r="L328" s="172">
        <f t="shared" ref="L328:N329" si="83">SUM(I328)</f>
        <v>100</v>
      </c>
      <c r="M328" s="172">
        <f t="shared" si="83"/>
        <v>0</v>
      </c>
      <c r="N328" s="172">
        <f t="shared" si="83"/>
        <v>100</v>
      </c>
      <c r="O328" s="178">
        <f t="shared" si="71"/>
        <v>100</v>
      </c>
      <c r="P328" s="92">
        <f t="shared" si="72"/>
        <v>0</v>
      </c>
    </row>
    <row r="329" spans="1:16" ht="31.5" x14ac:dyDescent="0.2">
      <c r="A329" s="42"/>
      <c r="B329" s="168" t="s">
        <v>35</v>
      </c>
      <c r="C329" s="169" t="s">
        <v>464</v>
      </c>
      <c r="D329" s="170" t="s">
        <v>36</v>
      </c>
      <c r="E329" s="171"/>
      <c r="F329" s="172"/>
      <c r="G329" s="172"/>
      <c r="H329" s="172"/>
      <c r="I329" s="188">
        <v>100</v>
      </c>
      <c r="J329" s="189"/>
      <c r="K329" s="188">
        <v>100</v>
      </c>
      <c r="L329" s="172">
        <f t="shared" si="83"/>
        <v>100</v>
      </c>
      <c r="M329" s="172">
        <f t="shared" si="83"/>
        <v>0</v>
      </c>
      <c r="N329" s="172">
        <f t="shared" si="83"/>
        <v>100</v>
      </c>
      <c r="O329" s="178">
        <f t="shared" si="71"/>
        <v>100</v>
      </c>
      <c r="P329" s="92">
        <f t="shared" si="72"/>
        <v>0</v>
      </c>
    </row>
    <row r="330" spans="1:16" ht="31.5" x14ac:dyDescent="0.2">
      <c r="A330" s="19" t="s">
        <v>335</v>
      </c>
      <c r="B330" s="182" t="s">
        <v>336</v>
      </c>
      <c r="C330" s="183" t="s">
        <v>337</v>
      </c>
      <c r="D330" s="184" t="s">
        <v>26</v>
      </c>
      <c r="E330" s="185"/>
      <c r="F330" s="186">
        <f>F331+F341+F338</f>
        <v>43668.800000000003</v>
      </c>
      <c r="G330" s="186">
        <f>G331+G341+G338</f>
        <v>0</v>
      </c>
      <c r="H330" s="186">
        <f>H331+H341+H338</f>
        <v>43668.800000000003</v>
      </c>
      <c r="I330" s="187">
        <f>I331+I341</f>
        <v>106001.5</v>
      </c>
      <c r="J330" s="186">
        <f>J331+J341</f>
        <v>0</v>
      </c>
      <c r="K330" s="187">
        <f>K331+K341</f>
        <v>106001.5</v>
      </c>
      <c r="L330" s="186">
        <f>L331+L341+L338</f>
        <v>149670.29999999999</v>
      </c>
      <c r="M330" s="186">
        <f>SUM(J330)+G330</f>
        <v>0</v>
      </c>
      <c r="N330" s="186">
        <f>N331+N341+N338</f>
        <v>149670.29999999999</v>
      </c>
      <c r="O330" s="178">
        <f t="shared" si="71"/>
        <v>149670.29999999999</v>
      </c>
      <c r="P330" s="92">
        <f t="shared" si="72"/>
        <v>0</v>
      </c>
    </row>
    <row r="331" spans="1:16" ht="18.75" x14ac:dyDescent="0.2">
      <c r="A331" s="49"/>
      <c r="B331" s="190" t="s">
        <v>338</v>
      </c>
      <c r="C331" s="191" t="s">
        <v>339</v>
      </c>
      <c r="D331" s="192" t="s">
        <v>26</v>
      </c>
      <c r="E331" s="193"/>
      <c r="F331" s="194">
        <f t="shared" ref="F331:N331" si="84">F332</f>
        <v>27725.800000000003</v>
      </c>
      <c r="G331" s="194">
        <f t="shared" si="84"/>
        <v>-678</v>
      </c>
      <c r="H331" s="194">
        <f t="shared" si="84"/>
        <v>27047.800000000003</v>
      </c>
      <c r="I331" s="195">
        <f t="shared" si="84"/>
        <v>101001.5</v>
      </c>
      <c r="J331" s="194">
        <f t="shared" si="84"/>
        <v>0</v>
      </c>
      <c r="K331" s="195">
        <f t="shared" si="84"/>
        <v>101001.5</v>
      </c>
      <c r="L331" s="194">
        <f t="shared" si="84"/>
        <v>128727.3</v>
      </c>
      <c r="M331" s="194">
        <f t="shared" si="84"/>
        <v>-678</v>
      </c>
      <c r="N331" s="194">
        <f t="shared" si="84"/>
        <v>128049.3</v>
      </c>
      <c r="O331" s="178">
        <f t="shared" si="71"/>
        <v>128049.3</v>
      </c>
      <c r="P331" s="92">
        <f t="shared" si="72"/>
        <v>0</v>
      </c>
    </row>
    <row r="332" spans="1:16" ht="47.25" x14ac:dyDescent="0.2">
      <c r="A332" s="42"/>
      <c r="B332" s="168" t="s">
        <v>340</v>
      </c>
      <c r="C332" s="169" t="s">
        <v>341</v>
      </c>
      <c r="D332" s="170" t="s">
        <v>26</v>
      </c>
      <c r="E332" s="171"/>
      <c r="F332" s="172">
        <f>F333+F336</f>
        <v>27725.800000000003</v>
      </c>
      <c r="G332" s="172">
        <f>G333+G336</f>
        <v>-678</v>
      </c>
      <c r="H332" s="172">
        <f>H333+H336</f>
        <v>27047.800000000003</v>
      </c>
      <c r="I332" s="188">
        <f>I333+I336</f>
        <v>101001.5</v>
      </c>
      <c r="J332" s="189">
        <f>SUM(J336)</f>
        <v>0</v>
      </c>
      <c r="K332" s="188">
        <f>K333+K336</f>
        <v>101001.5</v>
      </c>
      <c r="L332" s="172">
        <f>L333+L336</f>
        <v>128727.3</v>
      </c>
      <c r="M332" s="172">
        <f>M333+M336</f>
        <v>-678</v>
      </c>
      <c r="N332" s="172">
        <f>N333+N336</f>
        <v>128049.3</v>
      </c>
      <c r="O332" s="178">
        <f t="shared" si="71"/>
        <v>128049.3</v>
      </c>
      <c r="P332" s="92">
        <f t="shared" si="72"/>
        <v>0</v>
      </c>
    </row>
    <row r="333" spans="1:16" ht="36" customHeight="1" x14ac:dyDescent="0.2">
      <c r="A333" s="42"/>
      <c r="B333" s="168" t="s">
        <v>342</v>
      </c>
      <c r="C333" s="169" t="s">
        <v>343</v>
      </c>
      <c r="D333" s="170" t="s">
        <v>26</v>
      </c>
      <c r="E333" s="171"/>
      <c r="F333" s="172">
        <f>F334+F335</f>
        <v>11283.6</v>
      </c>
      <c r="G333" s="172">
        <f>G334+G335</f>
        <v>-678</v>
      </c>
      <c r="H333" s="172">
        <f>H334+H335</f>
        <v>10605.6</v>
      </c>
      <c r="I333" s="188">
        <f>I334+I335</f>
        <v>0</v>
      </c>
      <c r="J333" s="189"/>
      <c r="K333" s="188">
        <f>K334+K335</f>
        <v>0</v>
      </c>
      <c r="L333" s="172">
        <f>L334+L335</f>
        <v>11283.6</v>
      </c>
      <c r="M333" s="172">
        <f>M334+M335</f>
        <v>-678</v>
      </c>
      <c r="N333" s="172">
        <f>N334+N335</f>
        <v>10605.6</v>
      </c>
      <c r="O333" s="178">
        <f t="shared" si="71"/>
        <v>10605.6</v>
      </c>
      <c r="P333" s="92">
        <f t="shared" si="72"/>
        <v>0</v>
      </c>
    </row>
    <row r="334" spans="1:16" ht="31.5" x14ac:dyDescent="0.2">
      <c r="A334" s="42"/>
      <c r="B334" s="168" t="s">
        <v>35</v>
      </c>
      <c r="C334" s="169" t="s">
        <v>343</v>
      </c>
      <c r="D334" s="170" t="s">
        <v>36</v>
      </c>
      <c r="E334" s="171"/>
      <c r="F334" s="172">
        <v>3240</v>
      </c>
      <c r="G334" s="172"/>
      <c r="H334" s="172">
        <f>F334+G334</f>
        <v>3240</v>
      </c>
      <c r="I334" s="188">
        <v>0</v>
      </c>
      <c r="J334" s="189"/>
      <c r="K334" s="188">
        <v>0</v>
      </c>
      <c r="L334" s="172">
        <f t="shared" ref="L334:N335" si="85">SUM(F334)</f>
        <v>3240</v>
      </c>
      <c r="M334" s="172">
        <f t="shared" si="85"/>
        <v>0</v>
      </c>
      <c r="N334" s="172">
        <f t="shared" si="85"/>
        <v>3240</v>
      </c>
      <c r="O334" s="178">
        <f t="shared" si="71"/>
        <v>3240</v>
      </c>
      <c r="P334" s="92">
        <f t="shared" si="72"/>
        <v>0</v>
      </c>
    </row>
    <row r="335" spans="1:16" ht="31.5" x14ac:dyDescent="0.2">
      <c r="A335" s="42"/>
      <c r="B335" s="168" t="s">
        <v>131</v>
      </c>
      <c r="C335" s="169" t="s">
        <v>343</v>
      </c>
      <c r="D335" s="170" t="s">
        <v>132</v>
      </c>
      <c r="E335" s="171"/>
      <c r="F335" s="172">
        <v>8043.6</v>
      </c>
      <c r="G335" s="172">
        <v>-678</v>
      </c>
      <c r="H335" s="172">
        <f>SUM(F335)+G335</f>
        <v>7365.6</v>
      </c>
      <c r="I335" s="188">
        <v>0</v>
      </c>
      <c r="J335" s="189"/>
      <c r="K335" s="188">
        <v>0</v>
      </c>
      <c r="L335" s="172">
        <f>SUM(F335)</f>
        <v>8043.6</v>
      </c>
      <c r="M335" s="172">
        <f t="shared" si="85"/>
        <v>-678</v>
      </c>
      <c r="N335" s="172">
        <f>SUM(H335)</f>
        <v>7365.6</v>
      </c>
      <c r="O335" s="178">
        <f t="shared" si="71"/>
        <v>7365.6</v>
      </c>
      <c r="P335" s="92">
        <f t="shared" si="72"/>
        <v>0</v>
      </c>
    </row>
    <row r="336" spans="1:16" ht="18.75" x14ac:dyDescent="0.2">
      <c r="A336" s="42"/>
      <c r="B336" s="168" t="s">
        <v>344</v>
      </c>
      <c r="C336" s="169" t="s">
        <v>345</v>
      </c>
      <c r="D336" s="170" t="s">
        <v>26</v>
      </c>
      <c r="E336" s="171"/>
      <c r="F336" s="172">
        <f>F337</f>
        <v>16442.2</v>
      </c>
      <c r="G336" s="254">
        <f>G337</f>
        <v>0</v>
      </c>
      <c r="H336" s="172">
        <f>H337</f>
        <v>16442.2</v>
      </c>
      <c r="I336" s="188">
        <f>I337</f>
        <v>101001.5</v>
      </c>
      <c r="J336" s="189"/>
      <c r="K336" s="188">
        <f>K337</f>
        <v>101001.5</v>
      </c>
      <c r="L336" s="172">
        <f>L337</f>
        <v>117443.7</v>
      </c>
      <c r="M336" s="172">
        <f>M337</f>
        <v>0</v>
      </c>
      <c r="N336" s="172">
        <f>N337</f>
        <v>117443.7</v>
      </c>
      <c r="O336" s="178">
        <f t="shared" si="71"/>
        <v>117443.7</v>
      </c>
      <c r="P336" s="92">
        <f t="shared" si="72"/>
        <v>0</v>
      </c>
    </row>
    <row r="337" spans="1:17" ht="31.5" x14ac:dyDescent="0.2">
      <c r="A337" s="42"/>
      <c r="B337" s="168" t="s">
        <v>131</v>
      </c>
      <c r="C337" s="169" t="s">
        <v>345</v>
      </c>
      <c r="D337" s="170" t="s">
        <v>132</v>
      </c>
      <c r="E337" s="171"/>
      <c r="F337" s="172">
        <v>16442.2</v>
      </c>
      <c r="G337" s="172"/>
      <c r="H337" s="172">
        <f>SUM(F337)+G337</f>
        <v>16442.2</v>
      </c>
      <c r="I337" s="188">
        <v>101001.5</v>
      </c>
      <c r="J337" s="189"/>
      <c r="K337" s="188">
        <f>SUM(I337)+J337</f>
        <v>101001.5</v>
      </c>
      <c r="L337" s="172">
        <f>SUM(F337)+I337</f>
        <v>117443.7</v>
      </c>
      <c r="M337" s="172">
        <f>SUM(G337)+J337</f>
        <v>0</v>
      </c>
      <c r="N337" s="172">
        <f>SUM(H337)+K337</f>
        <v>117443.7</v>
      </c>
      <c r="O337" s="178">
        <f t="shared" si="71"/>
        <v>117443.7</v>
      </c>
      <c r="P337" s="92">
        <f t="shared" si="72"/>
        <v>0</v>
      </c>
    </row>
    <row r="338" spans="1:17" ht="18.75" x14ac:dyDescent="0.2">
      <c r="A338" s="42"/>
      <c r="B338" s="168" t="s">
        <v>346</v>
      </c>
      <c r="C338" s="169" t="s">
        <v>347</v>
      </c>
      <c r="D338" s="170"/>
      <c r="E338" s="171"/>
      <c r="F338" s="172">
        <v>0</v>
      </c>
      <c r="G338" s="172">
        <f>SUM(G340)</f>
        <v>0</v>
      </c>
      <c r="H338" s="172">
        <f>SUM(F338:G338)</f>
        <v>0</v>
      </c>
      <c r="I338" s="188"/>
      <c r="J338" s="189"/>
      <c r="K338" s="188"/>
      <c r="L338" s="172">
        <f>SUM(F338)</f>
        <v>0</v>
      </c>
      <c r="M338" s="172">
        <f>SUM(G338)</f>
        <v>0</v>
      </c>
      <c r="N338" s="172">
        <f>SUM(H338)</f>
        <v>0</v>
      </c>
      <c r="O338" s="178">
        <f t="shared" si="71"/>
        <v>0</v>
      </c>
      <c r="P338" s="92">
        <f t="shared" si="72"/>
        <v>0</v>
      </c>
    </row>
    <row r="339" spans="1:17" ht="1.5" customHeight="1" x14ac:dyDescent="0.2">
      <c r="A339" s="42"/>
      <c r="B339" s="168"/>
      <c r="C339" s="169"/>
      <c r="D339" s="170"/>
      <c r="E339" s="171"/>
      <c r="F339" s="172"/>
      <c r="G339" s="172">
        <f>SUM(G340)</f>
        <v>0</v>
      </c>
      <c r="H339" s="172">
        <f>SUM(G339)</f>
        <v>0</v>
      </c>
      <c r="I339" s="188"/>
      <c r="J339" s="189"/>
      <c r="K339" s="188"/>
      <c r="L339" s="172"/>
      <c r="M339" s="172">
        <f>SUM(G339)</f>
        <v>0</v>
      </c>
      <c r="N339" s="172">
        <f>SUM(M339)</f>
        <v>0</v>
      </c>
      <c r="O339" s="178">
        <f t="shared" si="71"/>
        <v>0</v>
      </c>
      <c r="P339" s="92">
        <f t="shared" si="72"/>
        <v>0</v>
      </c>
    </row>
    <row r="340" spans="1:17" ht="31.5" x14ac:dyDescent="0.2">
      <c r="A340" s="42"/>
      <c r="B340" s="168" t="s">
        <v>131</v>
      </c>
      <c r="C340" s="169" t="s">
        <v>347</v>
      </c>
      <c r="D340" s="170" t="s">
        <v>132</v>
      </c>
      <c r="E340" s="171"/>
      <c r="F340" s="172">
        <v>0</v>
      </c>
      <c r="G340" s="172"/>
      <c r="H340" s="172">
        <f>SUM(F340:G340)</f>
        <v>0</v>
      </c>
      <c r="I340" s="188"/>
      <c r="J340" s="189"/>
      <c r="K340" s="188"/>
      <c r="L340" s="172">
        <f>SUM(F340)</f>
        <v>0</v>
      </c>
      <c r="M340" s="172">
        <f>SUM(G340)</f>
        <v>0</v>
      </c>
      <c r="N340" s="172">
        <f>SUM(H340)</f>
        <v>0</v>
      </c>
      <c r="O340" s="178">
        <f t="shared" si="71"/>
        <v>0</v>
      </c>
      <c r="P340" s="92">
        <f t="shared" si="72"/>
        <v>0</v>
      </c>
    </row>
    <row r="341" spans="1:17" ht="18.75" x14ac:dyDescent="0.2">
      <c r="A341" s="42"/>
      <c r="B341" s="190" t="s">
        <v>348</v>
      </c>
      <c r="C341" s="191" t="s">
        <v>349</v>
      </c>
      <c r="D341" s="192"/>
      <c r="E341" s="193"/>
      <c r="F341" s="194">
        <f>SUM(F343)</f>
        <v>15943</v>
      </c>
      <c r="G341" s="194">
        <f>SUM(G343)</f>
        <v>678</v>
      </c>
      <c r="H341" s="194">
        <f>SUM(H343)</f>
        <v>16621</v>
      </c>
      <c r="I341" s="188">
        <v>5000</v>
      </c>
      <c r="J341" s="194">
        <f>SUM(J343)</f>
        <v>0</v>
      </c>
      <c r="K341" s="189">
        <v>5000</v>
      </c>
      <c r="L341" s="194">
        <f>SUM(L343)+I341</f>
        <v>20943</v>
      </c>
      <c r="M341" s="194">
        <f>SUM(M343)</f>
        <v>0</v>
      </c>
      <c r="N341" s="172">
        <f>SUM(H341+K341)</f>
        <v>21621</v>
      </c>
      <c r="O341" s="178">
        <f t="shared" si="71"/>
        <v>20943</v>
      </c>
      <c r="P341" s="92">
        <f t="shared" si="72"/>
        <v>-678</v>
      </c>
    </row>
    <row r="342" spans="1:17" ht="47.25" x14ac:dyDescent="0.2">
      <c r="A342" s="42"/>
      <c r="B342" s="168" t="s">
        <v>350</v>
      </c>
      <c r="C342" s="169" t="s">
        <v>351</v>
      </c>
      <c r="D342" s="170"/>
      <c r="E342" s="171"/>
      <c r="F342" s="172">
        <f>SUM(F343)</f>
        <v>15943</v>
      </c>
      <c r="G342" s="172">
        <f>SUM(G343)</f>
        <v>678</v>
      </c>
      <c r="H342" s="172">
        <f>SUM(H343)</f>
        <v>16621</v>
      </c>
      <c r="I342" s="188">
        <v>5000</v>
      </c>
      <c r="J342" s="189"/>
      <c r="K342" s="189">
        <v>5000</v>
      </c>
      <c r="L342" s="172">
        <f>SUM(L343)+I342</f>
        <v>20943</v>
      </c>
      <c r="M342" s="172">
        <f>SUM(M343)</f>
        <v>0</v>
      </c>
      <c r="N342" s="172">
        <f>SUM(N343)+K342</f>
        <v>21621</v>
      </c>
      <c r="O342" s="178">
        <f t="shared" si="71"/>
        <v>20943</v>
      </c>
      <c r="P342" s="92">
        <f t="shared" si="72"/>
        <v>-678</v>
      </c>
    </row>
    <row r="343" spans="1:17" ht="18.75" x14ac:dyDescent="0.2">
      <c r="A343" s="42"/>
      <c r="B343" s="168" t="s">
        <v>348</v>
      </c>
      <c r="C343" s="169" t="s">
        <v>352</v>
      </c>
      <c r="D343" s="170"/>
      <c r="E343" s="171"/>
      <c r="F343" s="172">
        <f>F344+F345</f>
        <v>15943</v>
      </c>
      <c r="G343" s="172">
        <f>G344+G345</f>
        <v>678</v>
      </c>
      <c r="H343" s="172">
        <f>H344+H345</f>
        <v>16621</v>
      </c>
      <c r="I343" s="188"/>
      <c r="J343" s="189"/>
      <c r="K343" s="189"/>
      <c r="L343" s="172">
        <f>SUM(F343)+I343</f>
        <v>15943</v>
      </c>
      <c r="M343" s="172"/>
      <c r="N343" s="172">
        <f>SUM(H343)+K343</f>
        <v>16621</v>
      </c>
      <c r="O343" s="178">
        <f t="shared" ref="O343:O412" si="86">L343+M343</f>
        <v>15943</v>
      </c>
      <c r="P343" s="92">
        <f t="shared" ref="P343:P412" si="87">O343-N343</f>
        <v>-678</v>
      </c>
    </row>
    <row r="344" spans="1:17" ht="31.5" x14ac:dyDescent="0.2">
      <c r="A344" s="42"/>
      <c r="B344" s="168" t="s">
        <v>35</v>
      </c>
      <c r="C344" s="169" t="s">
        <v>352</v>
      </c>
      <c r="D344" s="170" t="s">
        <v>36</v>
      </c>
      <c r="E344" s="171"/>
      <c r="F344" s="172">
        <v>14129</v>
      </c>
      <c r="G344" s="172">
        <f>283.2+678</f>
        <v>961.2</v>
      </c>
      <c r="H344" s="172">
        <f>SUM(F344:G344)</f>
        <v>15090.2</v>
      </c>
      <c r="I344" s="188"/>
      <c r="J344" s="189"/>
      <c r="K344" s="188">
        <f>SUM(I344)</f>
        <v>0</v>
      </c>
      <c r="L344" s="172">
        <f>SUM(F344)+I344</f>
        <v>14129</v>
      </c>
      <c r="M344" s="172">
        <f>SUM(G344)</f>
        <v>961.2</v>
      </c>
      <c r="N344" s="172">
        <f>SUM(H344)+K344</f>
        <v>15090.2</v>
      </c>
      <c r="O344" s="178">
        <f t="shared" si="86"/>
        <v>15090.2</v>
      </c>
      <c r="P344" s="92">
        <f t="shared" si="87"/>
        <v>0</v>
      </c>
    </row>
    <row r="345" spans="1:17" ht="31.5" x14ac:dyDescent="0.2">
      <c r="A345" s="42"/>
      <c r="B345" s="168" t="s">
        <v>131</v>
      </c>
      <c r="C345" s="169" t="s">
        <v>352</v>
      </c>
      <c r="D345" s="170" t="s">
        <v>132</v>
      </c>
      <c r="E345" s="171"/>
      <c r="F345" s="172">
        <v>1814</v>
      </c>
      <c r="G345" s="172">
        <v>-283.2</v>
      </c>
      <c r="H345" s="172">
        <f>1814+G345</f>
        <v>1530.8</v>
      </c>
      <c r="I345" s="188"/>
      <c r="J345" s="189"/>
      <c r="K345" s="188"/>
      <c r="L345" s="172">
        <f>SUM(F345)</f>
        <v>1814</v>
      </c>
      <c r="M345" s="172">
        <f>SUM(G345)</f>
        <v>-283.2</v>
      </c>
      <c r="N345" s="172">
        <f>SUM(H345)</f>
        <v>1530.8</v>
      </c>
      <c r="O345" s="178">
        <f t="shared" si="86"/>
        <v>1530.8</v>
      </c>
      <c r="P345" s="92">
        <f t="shared" si="87"/>
        <v>0</v>
      </c>
    </row>
    <row r="346" spans="1:17" ht="31.5" x14ac:dyDescent="0.2">
      <c r="A346" s="42"/>
      <c r="B346" s="168" t="s">
        <v>497</v>
      </c>
      <c r="C346" s="169" t="s">
        <v>496</v>
      </c>
      <c r="D346" s="170"/>
      <c r="E346" s="171"/>
      <c r="F346" s="172"/>
      <c r="G346" s="172"/>
      <c r="H346" s="172"/>
      <c r="I346" s="188">
        <v>5000</v>
      </c>
      <c r="J346" s="189"/>
      <c r="K346" s="188">
        <f>SUM(I346)</f>
        <v>5000</v>
      </c>
      <c r="L346" s="172">
        <f>SUM(I346)</f>
        <v>5000</v>
      </c>
      <c r="M346" s="172"/>
      <c r="N346" s="172">
        <f>SUM(K346)</f>
        <v>5000</v>
      </c>
      <c r="O346" s="178">
        <f t="shared" si="86"/>
        <v>5000</v>
      </c>
      <c r="P346" s="92">
        <f t="shared" si="87"/>
        <v>0</v>
      </c>
    </row>
    <row r="347" spans="1:17" ht="31.5" x14ac:dyDescent="0.2">
      <c r="A347" s="42"/>
      <c r="B347" s="168" t="s">
        <v>35</v>
      </c>
      <c r="C347" s="169" t="s">
        <v>496</v>
      </c>
      <c r="D347" s="170" t="s">
        <v>36</v>
      </c>
      <c r="E347" s="171"/>
      <c r="F347" s="172"/>
      <c r="G347" s="172"/>
      <c r="H347" s="172"/>
      <c r="I347" s="188">
        <v>5000</v>
      </c>
      <c r="J347" s="189"/>
      <c r="K347" s="188">
        <f>SUM(I347)</f>
        <v>5000</v>
      </c>
      <c r="L347" s="172">
        <f>SUM(I347)</f>
        <v>5000</v>
      </c>
      <c r="M347" s="172"/>
      <c r="N347" s="172">
        <f>SUM(K347)</f>
        <v>5000</v>
      </c>
      <c r="O347" s="178">
        <f t="shared" si="86"/>
        <v>5000</v>
      </c>
      <c r="P347" s="92">
        <f t="shared" si="87"/>
        <v>0</v>
      </c>
    </row>
    <row r="348" spans="1:17" ht="31.5" x14ac:dyDescent="0.2">
      <c r="A348" s="19" t="s">
        <v>353</v>
      </c>
      <c r="B348" s="182" t="s">
        <v>354</v>
      </c>
      <c r="C348" s="183" t="s">
        <v>355</v>
      </c>
      <c r="D348" s="184" t="s">
        <v>26</v>
      </c>
      <c r="E348" s="185"/>
      <c r="F348" s="186">
        <f t="shared" ref="F348:N348" si="88">F349+F362+F368</f>
        <v>80832</v>
      </c>
      <c r="G348" s="186">
        <f t="shared" si="88"/>
        <v>818.5</v>
      </c>
      <c r="H348" s="186">
        <f t="shared" si="88"/>
        <v>81650.5</v>
      </c>
      <c r="I348" s="187">
        <f t="shared" si="88"/>
        <v>0</v>
      </c>
      <c r="J348" s="186">
        <f t="shared" si="88"/>
        <v>0</v>
      </c>
      <c r="K348" s="187">
        <f t="shared" si="88"/>
        <v>0</v>
      </c>
      <c r="L348" s="186">
        <f t="shared" si="88"/>
        <v>80832</v>
      </c>
      <c r="M348" s="186">
        <f t="shared" si="88"/>
        <v>818.5</v>
      </c>
      <c r="N348" s="186">
        <f t="shared" si="88"/>
        <v>81650.5</v>
      </c>
      <c r="O348" s="178">
        <f t="shared" si="86"/>
        <v>81650.5</v>
      </c>
      <c r="P348" s="92">
        <f t="shared" si="87"/>
        <v>0</v>
      </c>
      <c r="Q348" s="25"/>
    </row>
    <row r="349" spans="1:17" ht="18.75" x14ac:dyDescent="0.2">
      <c r="A349" s="49"/>
      <c r="B349" s="190" t="s">
        <v>356</v>
      </c>
      <c r="C349" s="191" t="s">
        <v>357</v>
      </c>
      <c r="D349" s="192" t="s">
        <v>26</v>
      </c>
      <c r="E349" s="193"/>
      <c r="F349" s="194">
        <f t="shared" ref="F349:N349" si="89">F350+F355</f>
        <v>55813.4</v>
      </c>
      <c r="G349" s="194">
        <f t="shared" si="89"/>
        <v>452.90000000000003</v>
      </c>
      <c r="H349" s="194">
        <f t="shared" si="89"/>
        <v>56266.3</v>
      </c>
      <c r="I349" s="195">
        <f t="shared" si="89"/>
        <v>0</v>
      </c>
      <c r="J349" s="194">
        <f t="shared" si="89"/>
        <v>0</v>
      </c>
      <c r="K349" s="195">
        <f t="shared" si="89"/>
        <v>0</v>
      </c>
      <c r="L349" s="194">
        <f t="shared" si="89"/>
        <v>55813.4</v>
      </c>
      <c r="M349" s="194">
        <f t="shared" si="89"/>
        <v>452.90000000000003</v>
      </c>
      <c r="N349" s="194">
        <f t="shared" si="89"/>
        <v>56266.3</v>
      </c>
      <c r="O349" s="178">
        <f t="shared" si="86"/>
        <v>56266.3</v>
      </c>
      <c r="P349" s="92">
        <f t="shared" si="87"/>
        <v>0</v>
      </c>
      <c r="Q349" s="55"/>
    </row>
    <row r="350" spans="1:17" ht="18.75" x14ac:dyDescent="0.2">
      <c r="A350" s="42"/>
      <c r="B350" s="168" t="s">
        <v>358</v>
      </c>
      <c r="C350" s="169" t="s">
        <v>359</v>
      </c>
      <c r="D350" s="170" t="s">
        <v>26</v>
      </c>
      <c r="E350" s="171"/>
      <c r="F350" s="172">
        <f>F351</f>
        <v>42575.5</v>
      </c>
      <c r="G350" s="172">
        <f>G351</f>
        <v>0</v>
      </c>
      <c r="H350" s="172">
        <f>H351</f>
        <v>42575.5</v>
      </c>
      <c r="I350" s="188">
        <f>I351</f>
        <v>0</v>
      </c>
      <c r="J350" s="189"/>
      <c r="K350" s="188">
        <f>K351</f>
        <v>0</v>
      </c>
      <c r="L350" s="172">
        <f>L351</f>
        <v>42575.5</v>
      </c>
      <c r="M350" s="172">
        <f>M351</f>
        <v>0</v>
      </c>
      <c r="N350" s="172">
        <f>N351</f>
        <v>42575.5</v>
      </c>
      <c r="O350" s="178">
        <f t="shared" si="86"/>
        <v>42575.5</v>
      </c>
      <c r="P350" s="92">
        <f t="shared" si="87"/>
        <v>0</v>
      </c>
    </row>
    <row r="351" spans="1:17" ht="31.5" x14ac:dyDescent="0.2">
      <c r="A351" s="42"/>
      <c r="B351" s="168" t="s">
        <v>39</v>
      </c>
      <c r="C351" s="169" t="s">
        <v>360</v>
      </c>
      <c r="D351" s="170" t="s">
        <v>26</v>
      </c>
      <c r="E351" s="171"/>
      <c r="F351" s="172">
        <f>F352+F353+F354</f>
        <v>42575.5</v>
      </c>
      <c r="G351" s="172">
        <f>G352+G353</f>
        <v>0</v>
      </c>
      <c r="H351" s="172">
        <f>H352+H353+H354</f>
        <v>42575.5</v>
      </c>
      <c r="I351" s="188">
        <f>I352+I353+I354</f>
        <v>0</v>
      </c>
      <c r="J351" s="189"/>
      <c r="K351" s="188">
        <f>K352+K353+K354</f>
        <v>0</v>
      </c>
      <c r="L351" s="172">
        <f>L352+L353+L354</f>
        <v>42575.5</v>
      </c>
      <c r="M351" s="172">
        <f>M352+M353+M354</f>
        <v>0</v>
      </c>
      <c r="N351" s="172">
        <f>N352+N353+N354</f>
        <v>42575.5</v>
      </c>
      <c r="O351" s="178">
        <f t="shared" si="86"/>
        <v>42575.5</v>
      </c>
      <c r="P351" s="92">
        <f t="shared" si="87"/>
        <v>0</v>
      </c>
    </row>
    <row r="352" spans="1:17" ht="64.150000000000006" customHeight="1" x14ac:dyDescent="0.2">
      <c r="A352" s="42"/>
      <c r="B352" s="168" t="s">
        <v>31</v>
      </c>
      <c r="C352" s="169" t="s">
        <v>360</v>
      </c>
      <c r="D352" s="170" t="s">
        <v>32</v>
      </c>
      <c r="E352" s="171"/>
      <c r="F352" s="172">
        <v>27844.5</v>
      </c>
      <c r="G352" s="172"/>
      <c r="H352" s="172">
        <f>SUM(F352)+G352</f>
        <v>27844.5</v>
      </c>
      <c r="I352" s="188">
        <v>0</v>
      </c>
      <c r="J352" s="189"/>
      <c r="K352" s="188">
        <v>0</v>
      </c>
      <c r="L352" s="172">
        <f t="shared" ref="L352:N353" si="90">SUM(F352)</f>
        <v>27844.5</v>
      </c>
      <c r="M352" s="172">
        <f t="shared" si="90"/>
        <v>0</v>
      </c>
      <c r="N352" s="172">
        <f t="shared" si="90"/>
        <v>27844.5</v>
      </c>
      <c r="O352" s="178">
        <f t="shared" si="86"/>
        <v>27844.5</v>
      </c>
      <c r="P352" s="92">
        <f t="shared" si="87"/>
        <v>0</v>
      </c>
    </row>
    <row r="353" spans="1:16" ht="31.5" x14ac:dyDescent="0.2">
      <c r="A353" s="42"/>
      <c r="B353" s="168" t="s">
        <v>35</v>
      </c>
      <c r="C353" s="169" t="s">
        <v>360</v>
      </c>
      <c r="D353" s="170" t="s">
        <v>36</v>
      </c>
      <c r="E353" s="171"/>
      <c r="F353" s="172">
        <v>14653.6</v>
      </c>
      <c r="G353" s="172"/>
      <c r="H353" s="172">
        <f>SUM(F353)+G353</f>
        <v>14653.6</v>
      </c>
      <c r="I353" s="188">
        <v>0</v>
      </c>
      <c r="J353" s="189"/>
      <c r="K353" s="188">
        <v>0</v>
      </c>
      <c r="L353" s="172">
        <f t="shared" si="90"/>
        <v>14653.6</v>
      </c>
      <c r="M353" s="172">
        <f>SUM(G353)</f>
        <v>0</v>
      </c>
      <c r="N353" s="172">
        <f t="shared" si="90"/>
        <v>14653.6</v>
      </c>
      <c r="O353" s="178">
        <f t="shared" si="86"/>
        <v>14653.6</v>
      </c>
      <c r="P353" s="92">
        <f t="shared" si="87"/>
        <v>0</v>
      </c>
    </row>
    <row r="354" spans="1:16" ht="18.75" x14ac:dyDescent="0.2">
      <c r="A354" s="42"/>
      <c r="B354" s="168" t="s">
        <v>41</v>
      </c>
      <c r="C354" s="169" t="s">
        <v>360</v>
      </c>
      <c r="D354" s="170" t="s">
        <v>42</v>
      </c>
      <c r="E354" s="171"/>
      <c r="F354" s="172">
        <v>77.400000000000006</v>
      </c>
      <c r="G354" s="172"/>
      <c r="H354" s="172">
        <v>77.400000000000006</v>
      </c>
      <c r="I354" s="188">
        <v>0</v>
      </c>
      <c r="J354" s="189"/>
      <c r="K354" s="188">
        <v>0</v>
      </c>
      <c r="L354" s="172">
        <v>77.400000000000006</v>
      </c>
      <c r="M354" s="172"/>
      <c r="N354" s="172">
        <v>77.400000000000006</v>
      </c>
      <c r="O354" s="178">
        <f t="shared" si="86"/>
        <v>77.400000000000006</v>
      </c>
      <c r="P354" s="92">
        <f t="shared" si="87"/>
        <v>0</v>
      </c>
    </row>
    <row r="355" spans="1:16" ht="31.5" x14ac:dyDescent="0.2">
      <c r="A355" s="42"/>
      <c r="B355" s="168" t="s">
        <v>361</v>
      </c>
      <c r="C355" s="169" t="s">
        <v>362</v>
      </c>
      <c r="D355" s="170" t="s">
        <v>26</v>
      </c>
      <c r="E355" s="171"/>
      <c r="F355" s="172">
        <f>F356+F359</f>
        <v>13237.9</v>
      </c>
      <c r="G355" s="172">
        <f>G356+G359</f>
        <v>452.90000000000003</v>
      </c>
      <c r="H355" s="172">
        <f>H356+H359</f>
        <v>13690.8</v>
      </c>
      <c r="I355" s="188">
        <f>I356+I359</f>
        <v>0</v>
      </c>
      <c r="J355" s="189"/>
      <c r="K355" s="188">
        <f>K356+K359</f>
        <v>0</v>
      </c>
      <c r="L355" s="172">
        <f>L356+L359</f>
        <v>13237.9</v>
      </c>
      <c r="M355" s="172">
        <f>M356+M359</f>
        <v>452.90000000000003</v>
      </c>
      <c r="N355" s="172">
        <f>N356+N359</f>
        <v>13690.8</v>
      </c>
      <c r="O355" s="178">
        <f t="shared" si="86"/>
        <v>13690.8</v>
      </c>
      <c r="P355" s="92">
        <f t="shared" si="87"/>
        <v>0</v>
      </c>
    </row>
    <row r="356" spans="1:16" ht="31.5" x14ac:dyDescent="0.2">
      <c r="A356" s="42"/>
      <c r="B356" s="168" t="s">
        <v>39</v>
      </c>
      <c r="C356" s="169" t="s">
        <v>363</v>
      </c>
      <c r="D356" s="170" t="s">
        <v>26</v>
      </c>
      <c r="E356" s="171"/>
      <c r="F356" s="172">
        <f>F357+F358</f>
        <v>10245</v>
      </c>
      <c r="G356" s="172">
        <f>G357+G358</f>
        <v>0</v>
      </c>
      <c r="H356" s="172">
        <f>H357+H358</f>
        <v>10245</v>
      </c>
      <c r="I356" s="188">
        <f>I357+I358</f>
        <v>0</v>
      </c>
      <c r="J356" s="189"/>
      <c r="K356" s="188">
        <f>K357+K358</f>
        <v>0</v>
      </c>
      <c r="L356" s="172">
        <f>L357+L358</f>
        <v>10245</v>
      </c>
      <c r="M356" s="172">
        <f>M357+M358</f>
        <v>0</v>
      </c>
      <c r="N356" s="172">
        <f>N357+N358</f>
        <v>10245</v>
      </c>
      <c r="O356" s="178">
        <f t="shared" si="86"/>
        <v>10245</v>
      </c>
      <c r="P356" s="92">
        <f t="shared" si="87"/>
        <v>0</v>
      </c>
    </row>
    <row r="357" spans="1:16" ht="64.150000000000006" customHeight="1" x14ac:dyDescent="0.2">
      <c r="A357" s="42"/>
      <c r="B357" s="168" t="s">
        <v>31</v>
      </c>
      <c r="C357" s="169" t="s">
        <v>363</v>
      </c>
      <c r="D357" s="170" t="s">
        <v>32</v>
      </c>
      <c r="E357" s="171"/>
      <c r="F357" s="172">
        <v>9545</v>
      </c>
      <c r="G357" s="172"/>
      <c r="H357" s="172">
        <f>SUM(F357)</f>
        <v>9545</v>
      </c>
      <c r="I357" s="188">
        <v>0</v>
      </c>
      <c r="J357" s="189"/>
      <c r="K357" s="188">
        <v>0</v>
      </c>
      <c r="L357" s="172">
        <f>SUM(F357)</f>
        <v>9545</v>
      </c>
      <c r="M357" s="172">
        <f>SUM(G357)</f>
        <v>0</v>
      </c>
      <c r="N357" s="172">
        <f>SUM(H357)</f>
        <v>9545</v>
      </c>
      <c r="O357" s="178">
        <f t="shared" si="86"/>
        <v>9545</v>
      </c>
      <c r="P357" s="92">
        <f t="shared" si="87"/>
        <v>0</v>
      </c>
    </row>
    <row r="358" spans="1:16" ht="31.5" x14ac:dyDescent="0.2">
      <c r="A358" s="42"/>
      <c r="B358" s="168" t="s">
        <v>35</v>
      </c>
      <c r="C358" s="169" t="s">
        <v>363</v>
      </c>
      <c r="D358" s="170" t="s">
        <v>36</v>
      </c>
      <c r="E358" s="171"/>
      <c r="F358" s="172">
        <v>700</v>
      </c>
      <c r="G358" s="172"/>
      <c r="H358" s="172">
        <v>700</v>
      </c>
      <c r="I358" s="188">
        <v>0</v>
      </c>
      <c r="J358" s="189"/>
      <c r="K358" s="188">
        <v>0</v>
      </c>
      <c r="L358" s="172">
        <v>700</v>
      </c>
      <c r="M358" s="172"/>
      <c r="N358" s="172">
        <v>700</v>
      </c>
      <c r="O358" s="178">
        <f t="shared" si="86"/>
        <v>700</v>
      </c>
      <c r="P358" s="92">
        <f t="shared" si="87"/>
        <v>0</v>
      </c>
    </row>
    <row r="359" spans="1:16" ht="31.5" x14ac:dyDescent="0.2">
      <c r="A359" s="42"/>
      <c r="B359" s="168" t="s">
        <v>364</v>
      </c>
      <c r="C359" s="169" t="s">
        <v>365</v>
      </c>
      <c r="D359" s="170" t="s">
        <v>26</v>
      </c>
      <c r="E359" s="171"/>
      <c r="F359" s="172">
        <f>F360+F361</f>
        <v>2992.9</v>
      </c>
      <c r="G359" s="172">
        <f>SUM(G360)+G361</f>
        <v>452.90000000000003</v>
      </c>
      <c r="H359" s="172">
        <f>H360+H361</f>
        <v>3445.8</v>
      </c>
      <c r="I359" s="188">
        <f>I360+I361</f>
        <v>0</v>
      </c>
      <c r="J359" s="189"/>
      <c r="K359" s="188">
        <f>K360+K361</f>
        <v>0</v>
      </c>
      <c r="L359" s="172">
        <f>SUM(F359)</f>
        <v>2992.9</v>
      </c>
      <c r="M359" s="172">
        <f>SUM(M360)+M361</f>
        <v>452.90000000000003</v>
      </c>
      <c r="N359" s="172">
        <f>M359+L359</f>
        <v>3445.8</v>
      </c>
      <c r="O359" s="178">
        <f t="shared" si="86"/>
        <v>3445.8</v>
      </c>
      <c r="P359" s="92">
        <f t="shared" si="87"/>
        <v>0</v>
      </c>
    </row>
    <row r="360" spans="1:16" ht="31.5" x14ac:dyDescent="0.2">
      <c r="A360" s="42"/>
      <c r="B360" s="168" t="s">
        <v>35</v>
      </c>
      <c r="C360" s="169" t="s">
        <v>365</v>
      </c>
      <c r="D360" s="170" t="s">
        <v>36</v>
      </c>
      <c r="E360" s="171"/>
      <c r="F360" s="172">
        <v>1908</v>
      </c>
      <c r="G360" s="172">
        <f>-12.4+280+185.3</f>
        <v>452.90000000000003</v>
      </c>
      <c r="H360" s="172">
        <f>SUM(F360)+G360</f>
        <v>2360.9</v>
      </c>
      <c r="I360" s="188">
        <v>0</v>
      </c>
      <c r="J360" s="189"/>
      <c r="K360" s="188">
        <v>0</v>
      </c>
      <c r="L360" s="172">
        <f>F360+I360</f>
        <v>1908</v>
      </c>
      <c r="M360" s="172">
        <f>SUM(G360)</f>
        <v>452.90000000000003</v>
      </c>
      <c r="N360" s="172">
        <f>H360+K360</f>
        <v>2360.9</v>
      </c>
      <c r="O360" s="178">
        <f t="shared" si="86"/>
        <v>2360.9</v>
      </c>
      <c r="P360" s="92">
        <f t="shared" si="87"/>
        <v>0</v>
      </c>
    </row>
    <row r="361" spans="1:16" ht="18.75" x14ac:dyDescent="0.2">
      <c r="A361" s="42"/>
      <c r="B361" s="168" t="s">
        <v>41</v>
      </c>
      <c r="C361" s="169" t="s">
        <v>365</v>
      </c>
      <c r="D361" s="170" t="s">
        <v>42</v>
      </c>
      <c r="E361" s="171"/>
      <c r="F361" s="172">
        <v>1084.9000000000001</v>
      </c>
      <c r="G361" s="172"/>
      <c r="H361" s="172">
        <v>1084.9000000000001</v>
      </c>
      <c r="I361" s="188">
        <v>0</v>
      </c>
      <c r="J361" s="189"/>
      <c r="K361" s="188">
        <v>0</v>
      </c>
      <c r="L361" s="172">
        <f>SUM(F361)</f>
        <v>1084.9000000000001</v>
      </c>
      <c r="M361" s="172">
        <f>SUM(G361)</f>
        <v>0</v>
      </c>
      <c r="N361" s="172">
        <f>SUM(L361:M361)</f>
        <v>1084.9000000000001</v>
      </c>
      <c r="O361" s="178">
        <f t="shared" si="86"/>
        <v>1084.9000000000001</v>
      </c>
      <c r="P361" s="92">
        <f t="shared" si="87"/>
        <v>0</v>
      </c>
    </row>
    <row r="362" spans="1:16" ht="18.75" x14ac:dyDescent="0.2">
      <c r="A362" s="49"/>
      <c r="B362" s="190" t="s">
        <v>366</v>
      </c>
      <c r="C362" s="191" t="s">
        <v>367</v>
      </c>
      <c r="D362" s="192" t="s">
        <v>26</v>
      </c>
      <c r="E362" s="193"/>
      <c r="F362" s="194">
        <f t="shared" ref="F362:N362" si="91">F363</f>
        <v>220.5</v>
      </c>
      <c r="G362" s="194">
        <f t="shared" si="91"/>
        <v>-185.3</v>
      </c>
      <c r="H362" s="194">
        <f t="shared" si="91"/>
        <v>35.199999999999989</v>
      </c>
      <c r="I362" s="195">
        <f t="shared" si="91"/>
        <v>0</v>
      </c>
      <c r="J362" s="194">
        <f t="shared" si="91"/>
        <v>0</v>
      </c>
      <c r="K362" s="195">
        <f t="shared" si="91"/>
        <v>0</v>
      </c>
      <c r="L362" s="194">
        <f t="shared" si="91"/>
        <v>220.5</v>
      </c>
      <c r="M362" s="194">
        <f t="shared" si="91"/>
        <v>-185.3</v>
      </c>
      <c r="N362" s="194">
        <f t="shared" si="91"/>
        <v>35.199999999999989</v>
      </c>
      <c r="O362" s="178">
        <f t="shared" si="86"/>
        <v>35.199999999999989</v>
      </c>
      <c r="P362" s="92">
        <f t="shared" si="87"/>
        <v>0</v>
      </c>
    </row>
    <row r="363" spans="1:16" ht="39" customHeight="1" x14ac:dyDescent="0.2">
      <c r="A363" s="42"/>
      <c r="B363" s="168" t="s">
        <v>368</v>
      </c>
      <c r="C363" s="169" t="s">
        <v>369</v>
      </c>
      <c r="D363" s="170" t="s">
        <v>26</v>
      </c>
      <c r="E363" s="171"/>
      <c r="F363" s="172">
        <f>F364+F366</f>
        <v>220.5</v>
      </c>
      <c r="G363" s="172">
        <f>G364+G366</f>
        <v>-185.3</v>
      </c>
      <c r="H363" s="172">
        <f>H364+H366</f>
        <v>35.199999999999989</v>
      </c>
      <c r="I363" s="188">
        <f>I364+I366</f>
        <v>0</v>
      </c>
      <c r="J363" s="189"/>
      <c r="K363" s="188">
        <f>K364+K366</f>
        <v>0</v>
      </c>
      <c r="L363" s="172">
        <f>L364+L366</f>
        <v>220.5</v>
      </c>
      <c r="M363" s="172">
        <f>M364+M366</f>
        <v>-185.3</v>
      </c>
      <c r="N363" s="172">
        <f>N364+N366</f>
        <v>35.199999999999989</v>
      </c>
      <c r="O363" s="178">
        <f t="shared" si="86"/>
        <v>35.199999999999989</v>
      </c>
      <c r="P363" s="92">
        <f t="shared" si="87"/>
        <v>0</v>
      </c>
    </row>
    <row r="364" spans="1:16" ht="18.75" x14ac:dyDescent="0.2">
      <c r="A364" s="42"/>
      <c r="B364" s="168" t="s">
        <v>370</v>
      </c>
      <c r="C364" s="169" t="s">
        <v>371</v>
      </c>
      <c r="D364" s="170" t="s">
        <v>26</v>
      </c>
      <c r="E364" s="171"/>
      <c r="F364" s="172">
        <f>F365</f>
        <v>20.5</v>
      </c>
      <c r="G364" s="172">
        <f>G365</f>
        <v>0</v>
      </c>
      <c r="H364" s="172">
        <f>H365</f>
        <v>20.5</v>
      </c>
      <c r="I364" s="188">
        <f>I365</f>
        <v>0</v>
      </c>
      <c r="J364" s="189"/>
      <c r="K364" s="188">
        <f>K365</f>
        <v>0</v>
      </c>
      <c r="L364" s="172">
        <f>L365</f>
        <v>20.5</v>
      </c>
      <c r="M364" s="172">
        <f>M365</f>
        <v>0</v>
      </c>
      <c r="N364" s="172">
        <f>N365</f>
        <v>20.5</v>
      </c>
      <c r="O364" s="178">
        <f t="shared" si="86"/>
        <v>20.5</v>
      </c>
      <c r="P364" s="92">
        <f t="shared" si="87"/>
        <v>0</v>
      </c>
    </row>
    <row r="365" spans="1:16" ht="22.15" customHeight="1" x14ac:dyDescent="0.2">
      <c r="A365" s="42"/>
      <c r="B365" s="168" t="s">
        <v>372</v>
      </c>
      <c r="C365" s="169" t="s">
        <v>371</v>
      </c>
      <c r="D365" s="170" t="s">
        <v>373</v>
      </c>
      <c r="E365" s="171"/>
      <c r="F365" s="172">
        <v>20.5</v>
      </c>
      <c r="G365" s="172"/>
      <c r="H365" s="172">
        <v>20.5</v>
      </c>
      <c r="I365" s="188">
        <v>0</v>
      </c>
      <c r="J365" s="189"/>
      <c r="K365" s="188">
        <v>0</v>
      </c>
      <c r="L365" s="172">
        <f>SUM(F365)</f>
        <v>20.5</v>
      </c>
      <c r="M365" s="172">
        <f>SUM(G365)</f>
        <v>0</v>
      </c>
      <c r="N365" s="172">
        <f>SUM(H365)</f>
        <v>20.5</v>
      </c>
      <c r="O365" s="178">
        <f t="shared" si="86"/>
        <v>20.5</v>
      </c>
      <c r="P365" s="92">
        <f t="shared" si="87"/>
        <v>0</v>
      </c>
    </row>
    <row r="366" spans="1:16" ht="31.5" x14ac:dyDescent="0.2">
      <c r="A366" s="42"/>
      <c r="B366" s="168" t="s">
        <v>374</v>
      </c>
      <c r="C366" s="169" t="s">
        <v>375</v>
      </c>
      <c r="D366" s="170" t="s">
        <v>26</v>
      </c>
      <c r="E366" s="171"/>
      <c r="F366" s="172">
        <f>F367</f>
        <v>200</v>
      </c>
      <c r="G366" s="172">
        <f>G367</f>
        <v>-185.3</v>
      </c>
      <c r="H366" s="172">
        <f>H367</f>
        <v>14.699999999999989</v>
      </c>
      <c r="I366" s="188">
        <f>I367</f>
        <v>0</v>
      </c>
      <c r="J366" s="189"/>
      <c r="K366" s="188">
        <f>K367</f>
        <v>0</v>
      </c>
      <c r="L366" s="172">
        <f>L367</f>
        <v>200</v>
      </c>
      <c r="M366" s="172">
        <f>M367</f>
        <v>-185.3</v>
      </c>
      <c r="N366" s="172">
        <f>N367</f>
        <v>14.699999999999989</v>
      </c>
      <c r="O366" s="178">
        <f t="shared" si="86"/>
        <v>14.699999999999989</v>
      </c>
      <c r="P366" s="92">
        <f t="shared" si="87"/>
        <v>0</v>
      </c>
    </row>
    <row r="367" spans="1:16" ht="31.5" x14ac:dyDescent="0.2">
      <c r="A367" s="42"/>
      <c r="B367" s="168" t="s">
        <v>35</v>
      </c>
      <c r="C367" s="169" t="s">
        <v>375</v>
      </c>
      <c r="D367" s="170" t="s">
        <v>36</v>
      </c>
      <c r="E367" s="171"/>
      <c r="F367" s="172">
        <v>200</v>
      </c>
      <c r="G367" s="172">
        <f>-126.8-58.5</f>
        <v>-185.3</v>
      </c>
      <c r="H367" s="172">
        <f>200+G367</f>
        <v>14.699999999999989</v>
      </c>
      <c r="I367" s="188">
        <v>0</v>
      </c>
      <c r="J367" s="189"/>
      <c r="K367" s="188">
        <v>0</v>
      </c>
      <c r="L367" s="172">
        <v>200</v>
      </c>
      <c r="M367" s="172">
        <f>SUM(G367)</f>
        <v>-185.3</v>
      </c>
      <c r="N367" s="172">
        <f>200+M367</f>
        <v>14.699999999999989</v>
      </c>
      <c r="O367" s="178">
        <f t="shared" si="86"/>
        <v>14.699999999999989</v>
      </c>
      <c r="P367" s="92">
        <f t="shared" si="87"/>
        <v>0</v>
      </c>
    </row>
    <row r="368" spans="1:16" ht="31.5" x14ac:dyDescent="0.2">
      <c r="A368" s="49"/>
      <c r="B368" s="190" t="s">
        <v>376</v>
      </c>
      <c r="C368" s="191" t="s">
        <v>377</v>
      </c>
      <c r="D368" s="192" t="s">
        <v>26</v>
      </c>
      <c r="E368" s="193"/>
      <c r="F368" s="277">
        <f>F369+F377+F380</f>
        <v>24798.1</v>
      </c>
      <c r="G368" s="195">
        <f t="shared" ref="G368:N368" si="92">G369+G377+G380</f>
        <v>550.9</v>
      </c>
      <c r="H368" s="195">
        <f t="shared" si="92"/>
        <v>25349</v>
      </c>
      <c r="I368" s="195">
        <f t="shared" si="92"/>
        <v>0</v>
      </c>
      <c r="J368" s="195">
        <f t="shared" si="92"/>
        <v>0</v>
      </c>
      <c r="K368" s="195">
        <f t="shared" si="92"/>
        <v>0</v>
      </c>
      <c r="L368" s="195">
        <f t="shared" si="92"/>
        <v>24798.1</v>
      </c>
      <c r="M368" s="195">
        <f t="shared" si="92"/>
        <v>550.9</v>
      </c>
      <c r="N368" s="196">
        <f t="shared" si="92"/>
        <v>25349</v>
      </c>
      <c r="O368" s="178">
        <f t="shared" si="86"/>
        <v>25349</v>
      </c>
      <c r="P368" s="92">
        <f t="shared" si="87"/>
        <v>0</v>
      </c>
    </row>
    <row r="369" spans="1:16" ht="37.9" customHeight="1" x14ac:dyDescent="0.2">
      <c r="A369" s="42"/>
      <c r="B369" s="168" t="s">
        <v>378</v>
      </c>
      <c r="C369" s="169" t="s">
        <v>379</v>
      </c>
      <c r="D369" s="170" t="s">
        <v>26</v>
      </c>
      <c r="E369" s="171"/>
      <c r="F369" s="172">
        <f>F370</f>
        <v>3784.2</v>
      </c>
      <c r="G369" s="172">
        <f>G370+G375</f>
        <v>550.9</v>
      </c>
      <c r="H369" s="172">
        <f>H370+H375</f>
        <v>4335.0999999999995</v>
      </c>
      <c r="I369" s="188">
        <f>I370</f>
        <v>0</v>
      </c>
      <c r="J369" s="189"/>
      <c r="K369" s="188">
        <f>K370</f>
        <v>0</v>
      </c>
      <c r="L369" s="172">
        <f>L370</f>
        <v>3784.2</v>
      </c>
      <c r="M369" s="172">
        <f>M370+G369</f>
        <v>550.9</v>
      </c>
      <c r="N369" s="172">
        <f>N370+M369</f>
        <v>4335.0999999999995</v>
      </c>
      <c r="O369" s="178">
        <f t="shared" si="86"/>
        <v>4335.0999999999995</v>
      </c>
      <c r="P369" s="92">
        <f t="shared" si="87"/>
        <v>0</v>
      </c>
    </row>
    <row r="370" spans="1:16" ht="31.5" x14ac:dyDescent="0.2">
      <c r="A370" s="42"/>
      <c r="B370" s="168" t="s">
        <v>93</v>
      </c>
      <c r="C370" s="169" t="s">
        <v>380</v>
      </c>
      <c r="D370" s="170" t="s">
        <v>26</v>
      </c>
      <c r="E370" s="171"/>
      <c r="F370" s="172">
        <f>F371+F374</f>
        <v>3784.2</v>
      </c>
      <c r="G370" s="172">
        <f>G371+G374</f>
        <v>0</v>
      </c>
      <c r="H370" s="172">
        <f>H371+H374</f>
        <v>3784.2</v>
      </c>
      <c r="I370" s="188">
        <f>I371+I374</f>
        <v>0</v>
      </c>
      <c r="J370" s="189"/>
      <c r="K370" s="188">
        <f>K371+K374</f>
        <v>0</v>
      </c>
      <c r="L370" s="172">
        <f>L371+L374</f>
        <v>3784.2</v>
      </c>
      <c r="M370" s="172">
        <f>M371+M374</f>
        <v>0</v>
      </c>
      <c r="N370" s="172">
        <f>N371+N374</f>
        <v>3784.2</v>
      </c>
      <c r="O370" s="178">
        <f t="shared" si="86"/>
        <v>3784.2</v>
      </c>
      <c r="P370" s="92">
        <f t="shared" si="87"/>
        <v>0</v>
      </c>
    </row>
    <row r="371" spans="1:16" ht="63.75" customHeight="1" x14ac:dyDescent="0.2">
      <c r="A371" s="42"/>
      <c r="B371" s="168" t="s">
        <v>31</v>
      </c>
      <c r="C371" s="169" t="s">
        <v>380</v>
      </c>
      <c r="D371" s="170" t="s">
        <v>32</v>
      </c>
      <c r="E371" s="171"/>
      <c r="F371" s="172">
        <v>3766.1</v>
      </c>
      <c r="G371" s="172"/>
      <c r="H371" s="172">
        <f>F371+G371</f>
        <v>3766.1</v>
      </c>
      <c r="I371" s="188">
        <v>0</v>
      </c>
      <c r="J371" s="189"/>
      <c r="K371" s="188">
        <v>0</v>
      </c>
      <c r="L371" s="172">
        <f t="shared" ref="L371:N374" si="93">SUM(F371)</f>
        <v>3766.1</v>
      </c>
      <c r="M371" s="172">
        <f t="shared" si="93"/>
        <v>0</v>
      </c>
      <c r="N371" s="172">
        <f t="shared" si="93"/>
        <v>3766.1</v>
      </c>
      <c r="O371" s="178">
        <f t="shared" si="86"/>
        <v>3766.1</v>
      </c>
      <c r="P371" s="92">
        <f t="shared" si="87"/>
        <v>0</v>
      </c>
    </row>
    <row r="372" spans="1:16" ht="64.5" hidden="1" customHeight="1" x14ac:dyDescent="0.2">
      <c r="A372" s="42"/>
      <c r="B372" s="168" t="s">
        <v>502</v>
      </c>
      <c r="C372" s="169" t="s">
        <v>504</v>
      </c>
      <c r="D372" s="170"/>
      <c r="E372" s="171"/>
      <c r="F372" s="172"/>
      <c r="G372" s="289"/>
      <c r="H372" s="172"/>
      <c r="I372" s="188"/>
      <c r="J372" s="189"/>
      <c r="K372" s="188"/>
      <c r="L372" s="172"/>
      <c r="M372" s="172"/>
      <c r="N372" s="172"/>
      <c r="O372" s="178"/>
      <c r="P372" s="92"/>
    </row>
    <row r="373" spans="1:16" ht="64.5" hidden="1" customHeight="1" x14ac:dyDescent="0.2">
      <c r="A373" s="42"/>
      <c r="B373" s="168" t="s">
        <v>31</v>
      </c>
      <c r="C373" s="169" t="s">
        <v>504</v>
      </c>
      <c r="D373" s="170" t="s">
        <v>32</v>
      </c>
      <c r="E373" s="171"/>
      <c r="F373" s="172"/>
      <c r="G373" s="289"/>
      <c r="H373" s="172"/>
      <c r="I373" s="188"/>
      <c r="J373" s="189"/>
      <c r="K373" s="188"/>
      <c r="L373" s="172"/>
      <c r="M373" s="172"/>
      <c r="N373" s="172"/>
      <c r="O373" s="178"/>
      <c r="P373" s="92"/>
    </row>
    <row r="374" spans="1:16" ht="31.5" x14ac:dyDescent="0.2">
      <c r="A374" s="42"/>
      <c r="B374" s="168" t="s">
        <v>35</v>
      </c>
      <c r="C374" s="169" t="s">
        <v>380</v>
      </c>
      <c r="D374" s="170" t="s">
        <v>36</v>
      </c>
      <c r="E374" s="171"/>
      <c r="F374" s="172">
        <v>18.100000000000001</v>
      </c>
      <c r="G374" s="215"/>
      <c r="H374" s="172">
        <f>F374+G374</f>
        <v>18.100000000000001</v>
      </c>
      <c r="I374" s="188">
        <v>0</v>
      </c>
      <c r="J374" s="189"/>
      <c r="K374" s="188">
        <v>0</v>
      </c>
      <c r="L374" s="172">
        <f t="shared" si="93"/>
        <v>18.100000000000001</v>
      </c>
      <c r="M374" s="172">
        <f t="shared" si="93"/>
        <v>0</v>
      </c>
      <c r="N374" s="172">
        <f t="shared" si="93"/>
        <v>18.100000000000001</v>
      </c>
      <c r="O374" s="178">
        <f t="shared" si="86"/>
        <v>18.100000000000001</v>
      </c>
      <c r="P374" s="92">
        <f t="shared" si="87"/>
        <v>0</v>
      </c>
    </row>
    <row r="375" spans="1:16" ht="78.75" x14ac:dyDescent="0.2">
      <c r="A375" s="42"/>
      <c r="B375" s="168" t="s">
        <v>502</v>
      </c>
      <c r="C375" s="169" t="s">
        <v>504</v>
      </c>
      <c r="D375" s="170"/>
      <c r="E375" s="171"/>
      <c r="F375" s="172"/>
      <c r="G375" s="290">
        <f>SUM(G376)</f>
        <v>550.9</v>
      </c>
      <c r="H375" s="290">
        <f>SUM(H376)</f>
        <v>550.9</v>
      </c>
      <c r="I375" s="188"/>
      <c r="J375" s="189"/>
      <c r="K375" s="188"/>
      <c r="L375" s="172"/>
      <c r="M375" s="172">
        <f>SUM(G375)</f>
        <v>550.9</v>
      </c>
      <c r="N375" s="172">
        <f>SUM(H375)</f>
        <v>550.9</v>
      </c>
      <c r="O375" s="178"/>
      <c r="P375" s="92"/>
    </row>
    <row r="376" spans="1:16" ht="63" x14ac:dyDescent="0.2">
      <c r="A376" s="42"/>
      <c r="B376" s="168" t="s">
        <v>31</v>
      </c>
      <c r="C376" s="169" t="s">
        <v>504</v>
      </c>
      <c r="D376" s="170" t="s">
        <v>32</v>
      </c>
      <c r="E376" s="171"/>
      <c r="F376" s="172"/>
      <c r="G376" s="290">
        <v>550.9</v>
      </c>
      <c r="H376" s="172">
        <f>SUM(G376)</f>
        <v>550.9</v>
      </c>
      <c r="I376" s="188"/>
      <c r="J376" s="189"/>
      <c r="K376" s="188"/>
      <c r="L376" s="172"/>
      <c r="M376" s="172">
        <f>SUM(G376)</f>
        <v>550.9</v>
      </c>
      <c r="N376" s="172">
        <f>SUM(H376)</f>
        <v>550.9</v>
      </c>
      <c r="O376" s="178"/>
      <c r="P376" s="92"/>
    </row>
    <row r="377" spans="1:16" ht="47.25" x14ac:dyDescent="0.2">
      <c r="A377" s="42"/>
      <c r="B377" s="168" t="s">
        <v>381</v>
      </c>
      <c r="C377" s="169" t="s">
        <v>382</v>
      </c>
      <c r="D377" s="170" t="s">
        <v>26</v>
      </c>
      <c r="E377" s="171"/>
      <c r="F377" s="172">
        <f t="shared" ref="F377:N378" si="94">F378</f>
        <v>11636.5</v>
      </c>
      <c r="G377" s="172">
        <f t="shared" si="94"/>
        <v>0</v>
      </c>
      <c r="H377" s="172">
        <f t="shared" si="94"/>
        <v>11636.5</v>
      </c>
      <c r="I377" s="188">
        <f t="shared" si="94"/>
        <v>0</v>
      </c>
      <c r="J377" s="189"/>
      <c r="K377" s="188">
        <f t="shared" si="94"/>
        <v>0</v>
      </c>
      <c r="L377" s="172">
        <f t="shared" si="94"/>
        <v>11636.5</v>
      </c>
      <c r="M377" s="172">
        <f t="shared" si="94"/>
        <v>0</v>
      </c>
      <c r="N377" s="172">
        <f t="shared" si="94"/>
        <v>11636.5</v>
      </c>
      <c r="O377" s="178">
        <f t="shared" si="86"/>
        <v>11636.5</v>
      </c>
      <c r="P377" s="92">
        <f t="shared" si="87"/>
        <v>0</v>
      </c>
    </row>
    <row r="378" spans="1:16" ht="31.5" x14ac:dyDescent="0.2">
      <c r="A378" s="42"/>
      <c r="B378" s="168" t="s">
        <v>39</v>
      </c>
      <c r="C378" s="169" t="s">
        <v>383</v>
      </c>
      <c r="D378" s="170" t="s">
        <v>26</v>
      </c>
      <c r="E378" s="171"/>
      <c r="F378" s="172">
        <f t="shared" si="94"/>
        <v>11636.5</v>
      </c>
      <c r="G378" s="172">
        <f t="shared" si="94"/>
        <v>0</v>
      </c>
      <c r="H378" s="172">
        <f t="shared" si="94"/>
        <v>11636.5</v>
      </c>
      <c r="I378" s="188">
        <f t="shared" si="94"/>
        <v>0</v>
      </c>
      <c r="J378" s="189"/>
      <c r="K378" s="188">
        <f t="shared" si="94"/>
        <v>0</v>
      </c>
      <c r="L378" s="172">
        <f t="shared" si="94"/>
        <v>11636.5</v>
      </c>
      <c r="M378" s="172">
        <f t="shared" si="94"/>
        <v>0</v>
      </c>
      <c r="N378" s="172">
        <f t="shared" si="94"/>
        <v>11636.5</v>
      </c>
      <c r="O378" s="178">
        <f t="shared" si="86"/>
        <v>11636.5</v>
      </c>
      <c r="P378" s="92">
        <f t="shared" si="87"/>
        <v>0</v>
      </c>
    </row>
    <row r="379" spans="1:16" ht="31.5" x14ac:dyDescent="0.2">
      <c r="A379" s="42"/>
      <c r="B379" s="168" t="s">
        <v>74</v>
      </c>
      <c r="C379" s="169" t="s">
        <v>383</v>
      </c>
      <c r="D379" s="170" t="s">
        <v>75</v>
      </c>
      <c r="E379" s="171"/>
      <c r="F379" s="172">
        <v>11636.5</v>
      </c>
      <c r="G379" s="172"/>
      <c r="H379" s="172">
        <f>SUM(F379)</f>
        <v>11636.5</v>
      </c>
      <c r="I379" s="188">
        <v>0</v>
      </c>
      <c r="J379" s="189"/>
      <c r="K379" s="188">
        <v>0</v>
      </c>
      <c r="L379" s="172">
        <f>SUM(F379)</f>
        <v>11636.5</v>
      </c>
      <c r="M379" s="172">
        <f>SUM(G379)</f>
        <v>0</v>
      </c>
      <c r="N379" s="172">
        <f>SUM(L379)</f>
        <v>11636.5</v>
      </c>
      <c r="O379" s="178">
        <f t="shared" si="86"/>
        <v>11636.5</v>
      </c>
      <c r="P379" s="92">
        <f t="shared" si="87"/>
        <v>0</v>
      </c>
    </row>
    <row r="380" spans="1:16" ht="36.6" customHeight="1" x14ac:dyDescent="0.2">
      <c r="A380" s="42"/>
      <c r="B380" s="168" t="s">
        <v>384</v>
      </c>
      <c r="C380" s="169" t="s">
        <v>385</v>
      </c>
      <c r="D380" s="170" t="s">
        <v>26</v>
      </c>
      <c r="E380" s="171"/>
      <c r="F380" s="188">
        <f>F381+F385</f>
        <v>9377.4</v>
      </c>
      <c r="G380" s="188">
        <f t="shared" ref="G380:N380" si="95">G381+G385</f>
        <v>0</v>
      </c>
      <c r="H380" s="188">
        <f t="shared" si="95"/>
        <v>9377.4</v>
      </c>
      <c r="I380" s="188">
        <f t="shared" si="95"/>
        <v>0</v>
      </c>
      <c r="J380" s="188">
        <f t="shared" si="95"/>
        <v>0</v>
      </c>
      <c r="K380" s="188">
        <f t="shared" si="95"/>
        <v>0</v>
      </c>
      <c r="L380" s="188">
        <f t="shared" si="95"/>
        <v>9377.4</v>
      </c>
      <c r="M380" s="188">
        <f t="shared" si="95"/>
        <v>0</v>
      </c>
      <c r="N380" s="188">
        <f t="shared" si="95"/>
        <v>9377.4</v>
      </c>
      <c r="O380" s="178">
        <f t="shared" si="86"/>
        <v>9377.4</v>
      </c>
      <c r="P380" s="92">
        <f t="shared" si="87"/>
        <v>0</v>
      </c>
    </row>
    <row r="381" spans="1:16" ht="36" customHeight="1" x14ac:dyDescent="0.2">
      <c r="A381" s="42"/>
      <c r="B381" s="168" t="s">
        <v>386</v>
      </c>
      <c r="C381" s="169" t="s">
        <v>387</v>
      </c>
      <c r="D381" s="170" t="s">
        <v>26</v>
      </c>
      <c r="E381" s="171"/>
      <c r="F381" s="172">
        <f>F382+F383</f>
        <v>1517.4</v>
      </c>
      <c r="G381" s="172">
        <f>G382+G383</f>
        <v>0</v>
      </c>
      <c r="H381" s="172">
        <f>H382+H383</f>
        <v>1517.4</v>
      </c>
      <c r="I381" s="188">
        <f>I382+I383</f>
        <v>0</v>
      </c>
      <c r="J381" s="189"/>
      <c r="K381" s="188">
        <f>K382+K383</f>
        <v>0</v>
      </c>
      <c r="L381" s="172">
        <f>L382+L383</f>
        <v>1517.4</v>
      </c>
      <c r="M381" s="172">
        <f>M382+M383</f>
        <v>0</v>
      </c>
      <c r="N381" s="172">
        <f>SUM(L381)+M381</f>
        <v>1517.4</v>
      </c>
      <c r="O381" s="178">
        <f t="shared" si="86"/>
        <v>1517.4</v>
      </c>
      <c r="P381" s="92">
        <f t="shared" si="87"/>
        <v>0</v>
      </c>
    </row>
    <row r="382" spans="1:16" ht="31.5" x14ac:dyDescent="0.2">
      <c r="A382" s="42"/>
      <c r="B382" s="168" t="s">
        <v>35</v>
      </c>
      <c r="C382" s="169" t="s">
        <v>387</v>
      </c>
      <c r="D382" s="170" t="s">
        <v>36</v>
      </c>
      <c r="E382" s="171"/>
      <c r="F382" s="172">
        <v>1517.4</v>
      </c>
      <c r="G382" s="172"/>
      <c r="H382" s="172">
        <f>SUM(F382)+G382</f>
        <v>1517.4</v>
      </c>
      <c r="I382" s="188">
        <v>0</v>
      </c>
      <c r="J382" s="189"/>
      <c r="K382" s="188">
        <v>0</v>
      </c>
      <c r="L382" s="172">
        <f>SUM(F382)</f>
        <v>1517.4</v>
      </c>
      <c r="M382" s="172">
        <f>SUM(G382)</f>
        <v>0</v>
      </c>
      <c r="N382" s="172">
        <f>SUM(H382)</f>
        <v>1517.4</v>
      </c>
      <c r="O382" s="178">
        <f t="shared" si="86"/>
        <v>1517.4</v>
      </c>
      <c r="P382" s="92">
        <f t="shared" si="87"/>
        <v>0</v>
      </c>
    </row>
    <row r="383" spans="1:16" ht="21.6" customHeight="1" x14ac:dyDescent="0.2">
      <c r="A383" s="42"/>
      <c r="B383" s="168" t="s">
        <v>41</v>
      </c>
      <c r="C383" s="169" t="s">
        <v>387</v>
      </c>
      <c r="D383" s="170" t="s">
        <v>42</v>
      </c>
      <c r="E383" s="171"/>
      <c r="F383" s="172">
        <v>0</v>
      </c>
      <c r="G383" s="172"/>
      <c r="H383" s="172"/>
      <c r="I383" s="188">
        <v>0</v>
      </c>
      <c r="J383" s="189"/>
      <c r="K383" s="188">
        <v>0</v>
      </c>
      <c r="L383" s="172"/>
      <c r="M383" s="172">
        <f>SUM(G383)</f>
        <v>0</v>
      </c>
      <c r="N383" s="172"/>
      <c r="O383" s="178">
        <f t="shared" si="86"/>
        <v>0</v>
      </c>
      <c r="P383" s="92">
        <f t="shared" si="87"/>
        <v>0</v>
      </c>
    </row>
    <row r="384" spans="1:16" ht="0.6" hidden="1" customHeight="1" x14ac:dyDescent="0.2">
      <c r="A384" s="42"/>
      <c r="B384" s="168" t="s">
        <v>490</v>
      </c>
      <c r="C384" s="169" t="s">
        <v>385</v>
      </c>
      <c r="D384" s="170"/>
      <c r="E384" s="171"/>
      <c r="F384" s="172"/>
      <c r="G384" s="172">
        <f>SUM(G386)</f>
        <v>0</v>
      </c>
      <c r="H384" s="172">
        <f>SUM(G384)</f>
        <v>0</v>
      </c>
      <c r="I384" s="188"/>
      <c r="J384" s="189"/>
      <c r="K384" s="188"/>
      <c r="L384" s="172"/>
      <c r="M384" s="172">
        <f>SUM(G384)</f>
        <v>0</v>
      </c>
      <c r="N384" s="172">
        <f>SUM(H384)</f>
        <v>0</v>
      </c>
      <c r="O384" s="178">
        <f t="shared" si="86"/>
        <v>0</v>
      </c>
      <c r="P384" s="92">
        <f t="shared" si="87"/>
        <v>0</v>
      </c>
    </row>
    <row r="385" spans="1:16" ht="47.25" x14ac:dyDescent="0.2">
      <c r="A385" s="42"/>
      <c r="B385" s="168" t="s">
        <v>492</v>
      </c>
      <c r="C385" s="169" t="s">
        <v>494</v>
      </c>
      <c r="D385" s="170"/>
      <c r="E385" s="171"/>
      <c r="F385" s="172">
        <v>7860</v>
      </c>
      <c r="G385" s="172">
        <f>SUM(G386)</f>
        <v>0</v>
      </c>
      <c r="H385" s="172">
        <f>SUM(F385)</f>
        <v>7860</v>
      </c>
      <c r="I385" s="188"/>
      <c r="J385" s="189"/>
      <c r="K385" s="188"/>
      <c r="L385" s="172">
        <f>SUM(F385)</f>
        <v>7860</v>
      </c>
      <c r="M385" s="172">
        <f>SUM(G385)</f>
        <v>0</v>
      </c>
      <c r="N385" s="172">
        <f>SUM(H385)</f>
        <v>7860</v>
      </c>
      <c r="O385" s="178">
        <f t="shared" si="86"/>
        <v>7860</v>
      </c>
      <c r="P385" s="92">
        <f t="shared" si="87"/>
        <v>0</v>
      </c>
    </row>
    <row r="386" spans="1:16" ht="31.5" x14ac:dyDescent="0.2">
      <c r="A386" s="42"/>
      <c r="B386" s="168" t="s">
        <v>131</v>
      </c>
      <c r="C386" s="169" t="s">
        <v>494</v>
      </c>
      <c r="D386" s="170" t="s">
        <v>132</v>
      </c>
      <c r="E386" s="171"/>
      <c r="F386" s="172">
        <v>7860</v>
      </c>
      <c r="G386" s="172"/>
      <c r="H386" s="172">
        <f>SUM(F386)</f>
        <v>7860</v>
      </c>
      <c r="I386" s="188"/>
      <c r="J386" s="189"/>
      <c r="K386" s="188"/>
      <c r="L386" s="172">
        <f>SUM(F386)</f>
        <v>7860</v>
      </c>
      <c r="M386" s="172">
        <f>SUM(G386)</f>
        <v>0</v>
      </c>
      <c r="N386" s="172">
        <f>SUM(H386)</f>
        <v>7860</v>
      </c>
      <c r="O386" s="178">
        <f t="shared" si="86"/>
        <v>7860</v>
      </c>
      <c r="P386" s="92">
        <f t="shared" si="87"/>
        <v>0</v>
      </c>
    </row>
    <row r="387" spans="1:16" ht="18.75" x14ac:dyDescent="0.2">
      <c r="A387" s="19" t="s">
        <v>388</v>
      </c>
      <c r="B387" s="182" t="s">
        <v>389</v>
      </c>
      <c r="C387" s="183" t="s">
        <v>390</v>
      </c>
      <c r="D387" s="184" t="s">
        <v>26</v>
      </c>
      <c r="E387" s="185"/>
      <c r="F387" s="186">
        <f t="shared" ref="F387:N389" si="96">F388</f>
        <v>1383.6</v>
      </c>
      <c r="G387" s="186">
        <f t="shared" si="96"/>
        <v>0</v>
      </c>
      <c r="H387" s="186">
        <f t="shared" si="96"/>
        <v>1383.6</v>
      </c>
      <c r="I387" s="187">
        <f t="shared" si="96"/>
        <v>0</v>
      </c>
      <c r="J387" s="186">
        <f>J388</f>
        <v>0</v>
      </c>
      <c r="K387" s="187">
        <f t="shared" si="96"/>
        <v>0</v>
      </c>
      <c r="L387" s="186">
        <f t="shared" si="96"/>
        <v>1383.6</v>
      </c>
      <c r="M387" s="186">
        <f t="shared" si="96"/>
        <v>0</v>
      </c>
      <c r="N387" s="186">
        <f t="shared" si="96"/>
        <v>1383.6</v>
      </c>
      <c r="O387" s="178">
        <f t="shared" si="86"/>
        <v>1383.6</v>
      </c>
      <c r="P387" s="92">
        <f t="shared" si="87"/>
        <v>0</v>
      </c>
    </row>
    <row r="388" spans="1:16" ht="51.6" customHeight="1" x14ac:dyDescent="0.2">
      <c r="A388" s="42"/>
      <c r="B388" s="168" t="s">
        <v>391</v>
      </c>
      <c r="C388" s="169" t="s">
        <v>392</v>
      </c>
      <c r="D388" s="170" t="s">
        <v>26</v>
      </c>
      <c r="E388" s="171"/>
      <c r="F388" s="172">
        <f t="shared" si="96"/>
        <v>1383.6</v>
      </c>
      <c r="G388" s="172">
        <f t="shared" si="96"/>
        <v>0</v>
      </c>
      <c r="H388" s="172">
        <f t="shared" si="96"/>
        <v>1383.6</v>
      </c>
      <c r="I388" s="188">
        <f t="shared" si="96"/>
        <v>0</v>
      </c>
      <c r="J388" s="189"/>
      <c r="K388" s="188">
        <f t="shared" si="96"/>
        <v>0</v>
      </c>
      <c r="L388" s="172">
        <f t="shared" si="96"/>
        <v>1383.6</v>
      </c>
      <c r="M388" s="172">
        <f t="shared" si="96"/>
        <v>0</v>
      </c>
      <c r="N388" s="172">
        <f t="shared" si="96"/>
        <v>1383.6</v>
      </c>
      <c r="O388" s="178">
        <f t="shared" si="86"/>
        <v>1383.6</v>
      </c>
      <c r="P388" s="92">
        <f t="shared" si="87"/>
        <v>0</v>
      </c>
    </row>
    <row r="389" spans="1:16" ht="31.5" x14ac:dyDescent="0.2">
      <c r="A389" s="42"/>
      <c r="B389" s="168" t="s">
        <v>393</v>
      </c>
      <c r="C389" s="169" t="s">
        <v>394</v>
      </c>
      <c r="D389" s="170" t="s">
        <v>26</v>
      </c>
      <c r="E389" s="171"/>
      <c r="F389" s="172">
        <f t="shared" si="96"/>
        <v>1383.6</v>
      </c>
      <c r="G389" s="172">
        <f t="shared" si="96"/>
        <v>0</v>
      </c>
      <c r="H389" s="172">
        <f t="shared" si="96"/>
        <v>1383.6</v>
      </c>
      <c r="I389" s="188">
        <f t="shared" si="96"/>
        <v>0</v>
      </c>
      <c r="J389" s="189"/>
      <c r="K389" s="188">
        <f t="shared" si="96"/>
        <v>0</v>
      </c>
      <c r="L389" s="172">
        <f t="shared" si="96"/>
        <v>1383.6</v>
      </c>
      <c r="M389" s="172">
        <f t="shared" si="96"/>
        <v>0</v>
      </c>
      <c r="N389" s="172">
        <f t="shared" si="96"/>
        <v>1383.6</v>
      </c>
      <c r="O389" s="178">
        <f t="shared" si="86"/>
        <v>1383.6</v>
      </c>
      <c r="P389" s="92">
        <f t="shared" si="87"/>
        <v>0</v>
      </c>
    </row>
    <row r="390" spans="1:16" ht="31.5" x14ac:dyDescent="0.2">
      <c r="A390" s="42"/>
      <c r="B390" s="168" t="s">
        <v>35</v>
      </c>
      <c r="C390" s="169" t="s">
        <v>394</v>
      </c>
      <c r="D390" s="170" t="s">
        <v>36</v>
      </c>
      <c r="E390" s="171"/>
      <c r="F390" s="172">
        <v>1383.6</v>
      </c>
      <c r="G390" s="172"/>
      <c r="H390" s="172">
        <f>SUM(F390)+G390</f>
        <v>1383.6</v>
      </c>
      <c r="I390" s="188">
        <v>0</v>
      </c>
      <c r="J390" s="189"/>
      <c r="K390" s="188">
        <v>0</v>
      </c>
      <c r="L390" s="172">
        <f>SUM(F390)</f>
        <v>1383.6</v>
      </c>
      <c r="M390" s="172">
        <f>SUM(G390)</f>
        <v>0</v>
      </c>
      <c r="N390" s="172">
        <f>SUM(H390)</f>
        <v>1383.6</v>
      </c>
      <c r="O390" s="178">
        <f t="shared" si="86"/>
        <v>1383.6</v>
      </c>
      <c r="P390" s="92">
        <f t="shared" si="87"/>
        <v>0</v>
      </c>
    </row>
    <row r="391" spans="1:16" ht="49.15" customHeight="1" x14ac:dyDescent="0.2">
      <c r="A391" s="19" t="s">
        <v>395</v>
      </c>
      <c r="B391" s="182" t="s">
        <v>396</v>
      </c>
      <c r="C391" s="183" t="s">
        <v>397</v>
      </c>
      <c r="D391" s="184" t="s">
        <v>26</v>
      </c>
      <c r="E391" s="185"/>
      <c r="F391" s="186">
        <f t="shared" ref="F391:N393" si="97">F392</f>
        <v>1314.8</v>
      </c>
      <c r="G391" s="186">
        <f t="shared" si="97"/>
        <v>0</v>
      </c>
      <c r="H391" s="186">
        <f t="shared" si="97"/>
        <v>1314.8</v>
      </c>
      <c r="I391" s="187">
        <f t="shared" si="97"/>
        <v>0</v>
      </c>
      <c r="J391" s="186">
        <f>J392</f>
        <v>0</v>
      </c>
      <c r="K391" s="187">
        <f t="shared" si="97"/>
        <v>0</v>
      </c>
      <c r="L391" s="186">
        <f t="shared" si="97"/>
        <v>1314.8</v>
      </c>
      <c r="M391" s="186">
        <f t="shared" si="97"/>
        <v>0</v>
      </c>
      <c r="N391" s="186">
        <f t="shared" si="97"/>
        <v>1314.8</v>
      </c>
      <c r="O391" s="178">
        <f t="shared" si="86"/>
        <v>1314.8</v>
      </c>
      <c r="P391" s="92">
        <f t="shared" si="87"/>
        <v>0</v>
      </c>
    </row>
    <row r="392" spans="1:16" ht="30.6" customHeight="1" x14ac:dyDescent="0.2">
      <c r="A392" s="42"/>
      <c r="B392" s="168" t="s">
        <v>398</v>
      </c>
      <c r="C392" s="169" t="s">
        <v>399</v>
      </c>
      <c r="D392" s="170" t="s">
        <v>26</v>
      </c>
      <c r="E392" s="171"/>
      <c r="F392" s="172">
        <f>F393+F396</f>
        <v>1314.8</v>
      </c>
      <c r="G392" s="172">
        <f>G393+G396</f>
        <v>0</v>
      </c>
      <c r="H392" s="172">
        <f>H393+H396</f>
        <v>1314.8</v>
      </c>
      <c r="I392" s="188">
        <f t="shared" si="97"/>
        <v>0</v>
      </c>
      <c r="J392" s="189"/>
      <c r="K392" s="188">
        <f t="shared" si="97"/>
        <v>0</v>
      </c>
      <c r="L392" s="172">
        <f>SUM(F392)</f>
        <v>1314.8</v>
      </c>
      <c r="M392" s="172">
        <f>SUM(G392)</f>
        <v>0</v>
      </c>
      <c r="N392" s="172">
        <f>N393+N396</f>
        <v>1314.8</v>
      </c>
      <c r="O392" s="178">
        <f t="shared" si="86"/>
        <v>1314.8</v>
      </c>
      <c r="P392" s="92">
        <f t="shared" si="87"/>
        <v>0</v>
      </c>
    </row>
    <row r="393" spans="1:16" ht="49.15" customHeight="1" x14ac:dyDescent="0.2">
      <c r="A393" s="42"/>
      <c r="B393" s="168" t="s">
        <v>400</v>
      </c>
      <c r="C393" s="169" t="s">
        <v>401</v>
      </c>
      <c r="D393" s="170" t="s">
        <v>26</v>
      </c>
      <c r="E393" s="171"/>
      <c r="F393" s="172">
        <f>F394+F395</f>
        <v>549.9</v>
      </c>
      <c r="G393" s="172">
        <f>G394+G395</f>
        <v>0</v>
      </c>
      <c r="H393" s="172">
        <f>H394+H395</f>
        <v>549.9</v>
      </c>
      <c r="I393" s="188">
        <f t="shared" si="97"/>
        <v>0</v>
      </c>
      <c r="J393" s="189"/>
      <c r="K393" s="188">
        <f t="shared" si="97"/>
        <v>0</v>
      </c>
      <c r="L393" s="172">
        <f>L394+L395</f>
        <v>549.9</v>
      </c>
      <c r="M393" s="172">
        <f t="shared" si="97"/>
        <v>0</v>
      </c>
      <c r="N393" s="172">
        <f>N394+N395</f>
        <v>549.9</v>
      </c>
      <c r="O393" s="178">
        <f t="shared" si="86"/>
        <v>549.9</v>
      </c>
      <c r="P393" s="92">
        <f t="shared" si="87"/>
        <v>0</v>
      </c>
    </row>
    <row r="394" spans="1:16" ht="31.5" x14ac:dyDescent="0.2">
      <c r="A394" s="57"/>
      <c r="B394" s="216" t="s">
        <v>35</v>
      </c>
      <c r="C394" s="217" t="s">
        <v>401</v>
      </c>
      <c r="D394" s="170" t="s">
        <v>36</v>
      </c>
      <c r="E394" s="171"/>
      <c r="F394" s="172">
        <v>349.9</v>
      </c>
      <c r="G394" s="172"/>
      <c r="H394" s="172">
        <f>SUM(F394:G394)</f>
        <v>349.9</v>
      </c>
      <c r="I394" s="188">
        <v>0</v>
      </c>
      <c r="J394" s="189"/>
      <c r="K394" s="188">
        <v>0</v>
      </c>
      <c r="L394" s="172">
        <f t="shared" ref="L394:N397" si="98">SUM(F394)</f>
        <v>349.9</v>
      </c>
      <c r="M394" s="172">
        <f t="shared" si="98"/>
        <v>0</v>
      </c>
      <c r="N394" s="172">
        <f t="shared" si="98"/>
        <v>349.9</v>
      </c>
      <c r="O394" s="178">
        <f t="shared" si="86"/>
        <v>349.9</v>
      </c>
      <c r="P394" s="92">
        <f t="shared" si="87"/>
        <v>0</v>
      </c>
    </row>
    <row r="395" spans="1:16" ht="18.75" x14ac:dyDescent="0.2">
      <c r="A395" s="133"/>
      <c r="B395" s="168" t="s">
        <v>54</v>
      </c>
      <c r="C395" s="217" t="s">
        <v>401</v>
      </c>
      <c r="D395" s="170" t="s">
        <v>55</v>
      </c>
      <c r="E395" s="171"/>
      <c r="F395" s="172">
        <v>200</v>
      </c>
      <c r="G395" s="172"/>
      <c r="H395" s="172">
        <f>SUM(F395)</f>
        <v>200</v>
      </c>
      <c r="I395" s="189"/>
      <c r="J395" s="189"/>
      <c r="K395" s="189"/>
      <c r="L395" s="172">
        <f>SUM(F395)</f>
        <v>200</v>
      </c>
      <c r="M395" s="172">
        <f>SUM(G395)</f>
        <v>0</v>
      </c>
      <c r="N395" s="172">
        <f>SUM(H395)</f>
        <v>200</v>
      </c>
      <c r="O395" s="178">
        <f t="shared" si="86"/>
        <v>200</v>
      </c>
      <c r="P395" s="92">
        <f t="shared" si="87"/>
        <v>0</v>
      </c>
    </row>
    <row r="396" spans="1:16" ht="31.5" x14ac:dyDescent="0.2">
      <c r="A396" s="133"/>
      <c r="B396" s="197" t="s">
        <v>402</v>
      </c>
      <c r="C396" s="169" t="s">
        <v>403</v>
      </c>
      <c r="D396" s="170"/>
      <c r="E396" s="171"/>
      <c r="F396" s="219">
        <v>764.9</v>
      </c>
      <c r="G396" s="172"/>
      <c r="H396" s="172">
        <f>SUM(F396)+G396</f>
        <v>764.9</v>
      </c>
      <c r="I396" s="189"/>
      <c r="J396" s="189"/>
      <c r="K396" s="189"/>
      <c r="L396" s="172">
        <f t="shared" si="98"/>
        <v>764.9</v>
      </c>
      <c r="M396" s="172">
        <f t="shared" si="98"/>
        <v>0</v>
      </c>
      <c r="N396" s="172">
        <f t="shared" si="98"/>
        <v>764.9</v>
      </c>
      <c r="O396" s="178">
        <f t="shared" si="86"/>
        <v>764.9</v>
      </c>
      <c r="P396" s="92">
        <f t="shared" si="87"/>
        <v>0</v>
      </c>
    </row>
    <row r="397" spans="1:16" ht="32.25" thickBot="1" x14ac:dyDescent="0.25">
      <c r="A397" s="133"/>
      <c r="B397" s="216" t="s">
        <v>35</v>
      </c>
      <c r="C397" s="169" t="s">
        <v>403</v>
      </c>
      <c r="D397" s="218" t="s">
        <v>36</v>
      </c>
      <c r="E397" s="218"/>
      <c r="F397" s="219">
        <v>764.9</v>
      </c>
      <c r="G397" s="219"/>
      <c r="H397" s="219">
        <f>SUM(F397)+G397</f>
        <v>764.9</v>
      </c>
      <c r="I397" s="220"/>
      <c r="J397" s="220"/>
      <c r="K397" s="220"/>
      <c r="L397" s="219">
        <f t="shared" si="98"/>
        <v>764.9</v>
      </c>
      <c r="M397" s="219">
        <f t="shared" si="98"/>
        <v>0</v>
      </c>
      <c r="N397" s="219">
        <f t="shared" si="98"/>
        <v>764.9</v>
      </c>
      <c r="O397" s="178">
        <f t="shared" si="86"/>
        <v>764.9</v>
      </c>
      <c r="P397" s="92">
        <f t="shared" si="87"/>
        <v>0</v>
      </c>
    </row>
    <row r="398" spans="1:16" ht="16.5" customHeight="1" thickBot="1" x14ac:dyDescent="0.25">
      <c r="A398" s="26" t="s">
        <v>404</v>
      </c>
      <c r="B398" s="447" t="s">
        <v>405</v>
      </c>
      <c r="C398" s="448"/>
      <c r="D398" s="449"/>
      <c r="E398" s="287"/>
      <c r="F398" s="222">
        <f>F399+F405+F411+F431</f>
        <v>46635.4</v>
      </c>
      <c r="G398" s="222">
        <f t="shared" ref="G398:N398" si="99">G399+G405+G411+G431</f>
        <v>8597.1</v>
      </c>
      <c r="H398" s="222">
        <f>H399+H405+H411+H431</f>
        <v>55232.5</v>
      </c>
      <c r="I398" s="223">
        <f t="shared" si="99"/>
        <v>768.1</v>
      </c>
      <c r="J398" s="222">
        <f t="shared" si="99"/>
        <v>0</v>
      </c>
      <c r="K398" s="223">
        <f t="shared" si="99"/>
        <v>768.1</v>
      </c>
      <c r="L398" s="222">
        <f t="shared" si="99"/>
        <v>47403.5</v>
      </c>
      <c r="M398" s="222">
        <f t="shared" si="99"/>
        <v>8597.1</v>
      </c>
      <c r="N398" s="279">
        <f t="shared" si="99"/>
        <v>56000.6</v>
      </c>
      <c r="O398" s="178">
        <f t="shared" si="86"/>
        <v>56000.6</v>
      </c>
      <c r="P398" s="92">
        <f t="shared" si="87"/>
        <v>0</v>
      </c>
    </row>
    <row r="399" spans="1:16" ht="31.5" x14ac:dyDescent="0.2">
      <c r="A399" s="16" t="s">
        <v>406</v>
      </c>
      <c r="B399" s="224" t="s">
        <v>407</v>
      </c>
      <c r="C399" s="225" t="s">
        <v>408</v>
      </c>
      <c r="D399" s="226" t="s">
        <v>26</v>
      </c>
      <c r="E399" s="227"/>
      <c r="F399" s="228">
        <f t="shared" ref="F399:N401" si="100">F400</f>
        <v>2268.1</v>
      </c>
      <c r="G399" s="228">
        <f t="shared" si="100"/>
        <v>256.60000000000002</v>
      </c>
      <c r="H399" s="228">
        <f t="shared" si="100"/>
        <v>2524.6999999999998</v>
      </c>
      <c r="I399" s="229">
        <f t="shared" si="100"/>
        <v>0</v>
      </c>
      <c r="J399" s="228">
        <f>J400</f>
        <v>0</v>
      </c>
      <c r="K399" s="229">
        <f t="shared" si="100"/>
        <v>0</v>
      </c>
      <c r="L399" s="228">
        <f t="shared" si="100"/>
        <v>2268.1</v>
      </c>
      <c r="M399" s="228">
        <f t="shared" si="100"/>
        <v>256.60000000000002</v>
      </c>
      <c r="N399" s="228">
        <f t="shared" si="100"/>
        <v>2524.6999999999998</v>
      </c>
      <c r="O399" s="178">
        <f t="shared" si="86"/>
        <v>2524.6999999999998</v>
      </c>
      <c r="P399" s="92">
        <f t="shared" si="87"/>
        <v>0</v>
      </c>
    </row>
    <row r="400" spans="1:16" ht="22.15" customHeight="1" x14ac:dyDescent="0.2">
      <c r="A400" s="49"/>
      <c r="B400" s="190" t="s">
        <v>409</v>
      </c>
      <c r="C400" s="191" t="s">
        <v>410</v>
      </c>
      <c r="D400" s="192" t="s">
        <v>26</v>
      </c>
      <c r="E400" s="193"/>
      <c r="F400" s="230">
        <f t="shared" si="100"/>
        <v>2268.1</v>
      </c>
      <c r="G400" s="230">
        <f>G401+G403</f>
        <v>256.60000000000002</v>
      </c>
      <c r="H400" s="230">
        <f>H401+H403</f>
        <v>2524.6999999999998</v>
      </c>
      <c r="I400" s="231">
        <f t="shared" si="100"/>
        <v>0</v>
      </c>
      <c r="J400" s="230">
        <f>J401</f>
        <v>0</v>
      </c>
      <c r="K400" s="231">
        <f t="shared" si="100"/>
        <v>0</v>
      </c>
      <c r="L400" s="230">
        <f t="shared" si="100"/>
        <v>2268.1</v>
      </c>
      <c r="M400" s="230">
        <f>M401+M403</f>
        <v>256.60000000000002</v>
      </c>
      <c r="N400" s="230">
        <f>N401+N403</f>
        <v>2524.6999999999998</v>
      </c>
      <c r="O400" s="178">
        <f t="shared" si="86"/>
        <v>2524.6999999999998</v>
      </c>
      <c r="P400" s="92">
        <f t="shared" si="87"/>
        <v>0</v>
      </c>
    </row>
    <row r="401" spans="1:16" ht="31.5" x14ac:dyDescent="0.2">
      <c r="A401" s="42"/>
      <c r="B401" s="168" t="s">
        <v>93</v>
      </c>
      <c r="C401" s="169" t="s">
        <v>411</v>
      </c>
      <c r="D401" s="170" t="s">
        <v>26</v>
      </c>
      <c r="E401" s="171"/>
      <c r="F401" s="232">
        <f t="shared" si="100"/>
        <v>2268.1</v>
      </c>
      <c r="G401" s="232">
        <f t="shared" si="100"/>
        <v>0</v>
      </c>
      <c r="H401" s="232">
        <f t="shared" si="100"/>
        <v>2268.1</v>
      </c>
      <c r="I401" s="233">
        <f t="shared" si="100"/>
        <v>0</v>
      </c>
      <c r="J401" s="234"/>
      <c r="K401" s="233">
        <f t="shared" si="100"/>
        <v>0</v>
      </c>
      <c r="L401" s="232">
        <f t="shared" si="100"/>
        <v>2268.1</v>
      </c>
      <c r="M401" s="232">
        <f t="shared" si="100"/>
        <v>0</v>
      </c>
      <c r="N401" s="232">
        <f t="shared" si="100"/>
        <v>2268.1</v>
      </c>
      <c r="O401" s="178">
        <f t="shared" si="86"/>
        <v>2268.1</v>
      </c>
      <c r="P401" s="92">
        <f t="shared" si="87"/>
        <v>0</v>
      </c>
    </row>
    <row r="402" spans="1:16" ht="69" customHeight="1" x14ac:dyDescent="0.2">
      <c r="A402" s="42"/>
      <c r="B402" s="168" t="s">
        <v>31</v>
      </c>
      <c r="C402" s="169" t="s">
        <v>411</v>
      </c>
      <c r="D402" s="170" t="s">
        <v>32</v>
      </c>
      <c r="E402" s="171"/>
      <c r="F402" s="232">
        <v>2268.1</v>
      </c>
      <c r="G402" s="232"/>
      <c r="H402" s="232">
        <f>SUM(F402)</f>
        <v>2268.1</v>
      </c>
      <c r="I402" s="233">
        <v>0</v>
      </c>
      <c r="J402" s="234"/>
      <c r="K402" s="233">
        <v>0</v>
      </c>
      <c r="L402" s="232">
        <f>SUM(F402)</f>
        <v>2268.1</v>
      </c>
      <c r="M402" s="232">
        <f>SUM(G402)</f>
        <v>0</v>
      </c>
      <c r="N402" s="232">
        <f>SUM(H402)</f>
        <v>2268.1</v>
      </c>
      <c r="O402" s="178">
        <f t="shared" si="86"/>
        <v>2268.1</v>
      </c>
      <c r="P402" s="92">
        <f t="shared" si="87"/>
        <v>0</v>
      </c>
    </row>
    <row r="403" spans="1:16" ht="69" customHeight="1" x14ac:dyDescent="0.2">
      <c r="A403" s="42"/>
      <c r="B403" s="168" t="s">
        <v>502</v>
      </c>
      <c r="C403" s="169" t="s">
        <v>501</v>
      </c>
      <c r="D403" s="170"/>
      <c r="E403" s="171"/>
      <c r="F403" s="232"/>
      <c r="G403" s="232">
        <f>SUM(G404)</f>
        <v>256.60000000000002</v>
      </c>
      <c r="H403" s="232">
        <f>SUM(G403)</f>
        <v>256.60000000000002</v>
      </c>
      <c r="I403" s="233"/>
      <c r="J403" s="234"/>
      <c r="K403" s="233"/>
      <c r="L403" s="232"/>
      <c r="M403" s="232">
        <f>SUM(G403)</f>
        <v>256.60000000000002</v>
      </c>
      <c r="N403" s="232">
        <f>SUM(H403)</f>
        <v>256.60000000000002</v>
      </c>
      <c r="O403" s="178"/>
      <c r="P403" s="92"/>
    </row>
    <row r="404" spans="1:16" ht="69" customHeight="1" x14ac:dyDescent="0.2">
      <c r="A404" s="42"/>
      <c r="B404" s="168" t="s">
        <v>31</v>
      </c>
      <c r="C404" s="169" t="s">
        <v>501</v>
      </c>
      <c r="D404" s="170" t="s">
        <v>32</v>
      </c>
      <c r="E404" s="171"/>
      <c r="F404" s="232"/>
      <c r="G404" s="232">
        <v>256.60000000000002</v>
      </c>
      <c r="H404" s="232">
        <f>SUM(G404)</f>
        <v>256.60000000000002</v>
      </c>
      <c r="I404" s="233"/>
      <c r="J404" s="234"/>
      <c r="K404" s="233"/>
      <c r="L404" s="232"/>
      <c r="M404" s="232">
        <f>SUM(G404)</f>
        <v>256.60000000000002</v>
      </c>
      <c r="N404" s="232">
        <f>SUM(H404)</f>
        <v>256.60000000000002</v>
      </c>
      <c r="O404" s="178"/>
      <c r="P404" s="92"/>
    </row>
    <row r="405" spans="1:16" ht="31.5" x14ac:dyDescent="0.2">
      <c r="A405" s="19" t="s">
        <v>412</v>
      </c>
      <c r="B405" s="182" t="s">
        <v>413</v>
      </c>
      <c r="C405" s="183" t="s">
        <v>414</v>
      </c>
      <c r="D405" s="184" t="s">
        <v>26</v>
      </c>
      <c r="E405" s="185"/>
      <c r="F405" s="235">
        <f t="shared" ref="F405:N405" si="101">F406</f>
        <v>1601.8999999999999</v>
      </c>
      <c r="G405" s="235">
        <f t="shared" si="101"/>
        <v>0</v>
      </c>
      <c r="H405" s="235">
        <f t="shared" si="101"/>
        <v>1601.8999999999999</v>
      </c>
      <c r="I405" s="236">
        <f t="shared" si="101"/>
        <v>0</v>
      </c>
      <c r="J405" s="235">
        <f t="shared" si="101"/>
        <v>0</v>
      </c>
      <c r="K405" s="236">
        <f t="shared" si="101"/>
        <v>0</v>
      </c>
      <c r="L405" s="235">
        <f t="shared" si="101"/>
        <v>1601.8999999999999</v>
      </c>
      <c r="M405" s="235">
        <f t="shared" si="101"/>
        <v>0</v>
      </c>
      <c r="N405" s="235">
        <f t="shared" si="101"/>
        <v>1601.8999999999999</v>
      </c>
      <c r="O405" s="178">
        <f t="shared" si="86"/>
        <v>1601.8999999999999</v>
      </c>
      <c r="P405" s="92">
        <f t="shared" si="87"/>
        <v>0</v>
      </c>
    </row>
    <row r="406" spans="1:16" ht="31.5" x14ac:dyDescent="0.2">
      <c r="A406" s="49"/>
      <c r="B406" s="190" t="s">
        <v>415</v>
      </c>
      <c r="C406" s="191" t="s">
        <v>416</v>
      </c>
      <c r="D406" s="192" t="s">
        <v>26</v>
      </c>
      <c r="E406" s="193"/>
      <c r="F406" s="230">
        <f t="shared" ref="F406:N406" si="102">F407+F409</f>
        <v>1601.8999999999999</v>
      </c>
      <c r="G406" s="230">
        <f t="shared" si="102"/>
        <v>0</v>
      </c>
      <c r="H406" s="230">
        <f t="shared" si="102"/>
        <v>1601.8999999999999</v>
      </c>
      <c r="I406" s="231">
        <f t="shared" si="102"/>
        <v>0</v>
      </c>
      <c r="J406" s="230">
        <f t="shared" si="102"/>
        <v>0</v>
      </c>
      <c r="K406" s="231">
        <f t="shared" si="102"/>
        <v>0</v>
      </c>
      <c r="L406" s="230">
        <f t="shared" si="102"/>
        <v>1601.8999999999999</v>
      </c>
      <c r="M406" s="230">
        <f t="shared" si="102"/>
        <v>0</v>
      </c>
      <c r="N406" s="230">
        <f t="shared" si="102"/>
        <v>1601.8999999999999</v>
      </c>
      <c r="O406" s="178">
        <f t="shared" si="86"/>
        <v>1601.8999999999999</v>
      </c>
      <c r="P406" s="92">
        <f t="shared" si="87"/>
        <v>0</v>
      </c>
    </row>
    <row r="407" spans="1:16" ht="31.5" x14ac:dyDescent="0.2">
      <c r="A407" s="42"/>
      <c r="B407" s="168" t="s">
        <v>93</v>
      </c>
      <c r="C407" s="169" t="s">
        <v>417</v>
      </c>
      <c r="D407" s="170" t="s">
        <v>26</v>
      </c>
      <c r="E407" s="171"/>
      <c r="F407" s="232">
        <f>F408</f>
        <v>8.1</v>
      </c>
      <c r="G407" s="232">
        <f>G408</f>
        <v>0</v>
      </c>
      <c r="H407" s="232">
        <f>H408</f>
        <v>8.1</v>
      </c>
      <c r="I407" s="233">
        <f>I408</f>
        <v>0</v>
      </c>
      <c r="J407" s="234"/>
      <c r="K407" s="233">
        <f>K408</f>
        <v>0</v>
      </c>
      <c r="L407" s="232">
        <f>L408</f>
        <v>8.1</v>
      </c>
      <c r="M407" s="232">
        <f>M408</f>
        <v>0</v>
      </c>
      <c r="N407" s="232">
        <f>N408</f>
        <v>8.1</v>
      </c>
      <c r="O407" s="178">
        <f t="shared" si="86"/>
        <v>8.1</v>
      </c>
      <c r="P407" s="92">
        <f t="shared" si="87"/>
        <v>0</v>
      </c>
    </row>
    <row r="408" spans="1:16" ht="31.5" x14ac:dyDescent="0.2">
      <c r="A408" s="42"/>
      <c r="B408" s="168" t="s">
        <v>35</v>
      </c>
      <c r="C408" s="169" t="s">
        <v>417</v>
      </c>
      <c r="D408" s="170" t="s">
        <v>36</v>
      </c>
      <c r="E408" s="171"/>
      <c r="F408" s="232">
        <f>8+0.1</f>
        <v>8.1</v>
      </c>
      <c r="G408" s="232"/>
      <c r="H408" s="232">
        <f>8+0.1</f>
        <v>8.1</v>
      </c>
      <c r="I408" s="233">
        <v>0</v>
      </c>
      <c r="J408" s="234"/>
      <c r="K408" s="233">
        <v>0</v>
      </c>
      <c r="L408" s="232">
        <f>8+0.1</f>
        <v>8.1</v>
      </c>
      <c r="M408" s="232"/>
      <c r="N408" s="232">
        <f>8+0.1</f>
        <v>8.1</v>
      </c>
      <c r="O408" s="178">
        <f t="shared" si="86"/>
        <v>8.1</v>
      </c>
      <c r="P408" s="92">
        <f t="shared" si="87"/>
        <v>0</v>
      </c>
    </row>
    <row r="409" spans="1:16" ht="50.45" customHeight="1" x14ac:dyDescent="0.2">
      <c r="A409" s="42"/>
      <c r="B409" s="168" t="s">
        <v>418</v>
      </c>
      <c r="C409" s="169" t="s">
        <v>419</v>
      </c>
      <c r="D409" s="170" t="s">
        <v>26</v>
      </c>
      <c r="E409" s="171"/>
      <c r="F409" s="232">
        <f>F410</f>
        <v>1593.8</v>
      </c>
      <c r="G409" s="232">
        <f>G410</f>
        <v>0</v>
      </c>
      <c r="H409" s="232">
        <f>H410</f>
        <v>1593.8</v>
      </c>
      <c r="I409" s="233">
        <f>I410</f>
        <v>0</v>
      </c>
      <c r="J409" s="234"/>
      <c r="K409" s="233">
        <f>K410</f>
        <v>0</v>
      </c>
      <c r="L409" s="232">
        <f>L410</f>
        <v>1593.8</v>
      </c>
      <c r="M409" s="232">
        <f>M410</f>
        <v>0</v>
      </c>
      <c r="N409" s="232">
        <f>N410</f>
        <v>1593.8</v>
      </c>
      <c r="O409" s="178">
        <f t="shared" si="86"/>
        <v>1593.8</v>
      </c>
      <c r="P409" s="92">
        <f t="shared" si="87"/>
        <v>0</v>
      </c>
    </row>
    <row r="410" spans="1:16" ht="18.75" x14ac:dyDescent="0.2">
      <c r="A410" s="42"/>
      <c r="B410" s="168" t="s">
        <v>278</v>
      </c>
      <c r="C410" s="169" t="s">
        <v>419</v>
      </c>
      <c r="D410" s="170" t="s">
        <v>279</v>
      </c>
      <c r="E410" s="171"/>
      <c r="F410" s="232">
        <v>1593.8</v>
      </c>
      <c r="G410" s="232"/>
      <c r="H410" s="232">
        <f>SUM(F410)</f>
        <v>1593.8</v>
      </c>
      <c r="I410" s="233">
        <v>0</v>
      </c>
      <c r="J410" s="234"/>
      <c r="K410" s="233">
        <v>0</v>
      </c>
      <c r="L410" s="232">
        <f>SUM(F410)</f>
        <v>1593.8</v>
      </c>
      <c r="M410" s="232">
        <f>SUM(G410)</f>
        <v>0</v>
      </c>
      <c r="N410" s="232">
        <f>SUM(H410)</f>
        <v>1593.8</v>
      </c>
      <c r="O410" s="178">
        <f t="shared" si="86"/>
        <v>1593.8</v>
      </c>
      <c r="P410" s="92">
        <f t="shared" si="87"/>
        <v>0</v>
      </c>
    </row>
    <row r="411" spans="1:16" ht="31.5" x14ac:dyDescent="0.2">
      <c r="A411" s="19" t="s">
        <v>420</v>
      </c>
      <c r="B411" s="182" t="s">
        <v>421</v>
      </c>
      <c r="C411" s="183" t="s">
        <v>422</v>
      </c>
      <c r="D411" s="184" t="s">
        <v>26</v>
      </c>
      <c r="E411" s="185"/>
      <c r="F411" s="235">
        <f t="shared" ref="F411:N411" si="103">F412+F421+F427</f>
        <v>41421.5</v>
      </c>
      <c r="G411" s="235">
        <f t="shared" si="103"/>
        <v>8328.1</v>
      </c>
      <c r="H411" s="235">
        <f t="shared" si="103"/>
        <v>49749.599999999999</v>
      </c>
      <c r="I411" s="236">
        <f t="shared" si="103"/>
        <v>768.1</v>
      </c>
      <c r="J411" s="235">
        <f t="shared" si="103"/>
        <v>0</v>
      </c>
      <c r="K411" s="236">
        <f t="shared" si="103"/>
        <v>768.1</v>
      </c>
      <c r="L411" s="235">
        <f t="shared" si="103"/>
        <v>42189.599999999999</v>
      </c>
      <c r="M411" s="235">
        <f t="shared" si="103"/>
        <v>8328.1</v>
      </c>
      <c r="N411" s="235">
        <f t="shared" si="103"/>
        <v>50517.7</v>
      </c>
      <c r="O411" s="178">
        <f t="shared" si="86"/>
        <v>50517.7</v>
      </c>
      <c r="P411" s="92">
        <f t="shared" si="87"/>
        <v>0</v>
      </c>
    </row>
    <row r="412" spans="1:16" ht="31.5" x14ac:dyDescent="0.2">
      <c r="A412" s="49"/>
      <c r="B412" s="190" t="s">
        <v>423</v>
      </c>
      <c r="C412" s="191" t="s">
        <v>424</v>
      </c>
      <c r="D412" s="192" t="s">
        <v>26</v>
      </c>
      <c r="E412" s="193"/>
      <c r="F412" s="230">
        <f t="shared" ref="F412:L412" si="104">F413</f>
        <v>35728.5</v>
      </c>
      <c r="G412" s="230">
        <f>G413+G415+G419</f>
        <v>8328.1</v>
      </c>
      <c r="H412" s="230">
        <f>H413+V413+H415+G412</f>
        <v>44056.6</v>
      </c>
      <c r="I412" s="231">
        <f t="shared" si="104"/>
        <v>0</v>
      </c>
      <c r="J412" s="230">
        <f t="shared" si="104"/>
        <v>0</v>
      </c>
      <c r="K412" s="231">
        <f t="shared" si="104"/>
        <v>0</v>
      </c>
      <c r="L412" s="230">
        <f t="shared" si="104"/>
        <v>35728.5</v>
      </c>
      <c r="M412" s="230">
        <f>M413+M415+M419</f>
        <v>8328.1</v>
      </c>
      <c r="N412" s="230">
        <f>N413+M412</f>
        <v>44056.6</v>
      </c>
      <c r="O412" s="178">
        <f t="shared" si="86"/>
        <v>44056.6</v>
      </c>
      <c r="P412" s="92">
        <f t="shared" si="87"/>
        <v>0</v>
      </c>
    </row>
    <row r="413" spans="1:16" ht="31.5" x14ac:dyDescent="0.2">
      <c r="A413" s="42"/>
      <c r="B413" s="168" t="s">
        <v>93</v>
      </c>
      <c r="C413" s="169" t="s">
        <v>425</v>
      </c>
      <c r="D413" s="170" t="s">
        <v>26</v>
      </c>
      <c r="E413" s="171"/>
      <c r="F413" s="232">
        <f>F414+F417+F418</f>
        <v>35728.5</v>
      </c>
      <c r="G413" s="232">
        <f>G414+G417+G418</f>
        <v>0</v>
      </c>
      <c r="H413" s="232">
        <f>H414+H417+H418</f>
        <v>35728.5</v>
      </c>
      <c r="I413" s="233">
        <f>I414+I417+I418</f>
        <v>0</v>
      </c>
      <c r="J413" s="234"/>
      <c r="K413" s="233">
        <f>K414+K417+K418</f>
        <v>0</v>
      </c>
      <c r="L413" s="232">
        <f>L414+L417+L418</f>
        <v>35728.5</v>
      </c>
      <c r="M413" s="232"/>
      <c r="N413" s="232">
        <f>N414+N417+N418</f>
        <v>35728.5</v>
      </c>
      <c r="O413" s="178">
        <f t="shared" ref="O413:O469" si="105">L413+M413</f>
        <v>35728.5</v>
      </c>
      <c r="P413" s="92">
        <f t="shared" ref="P413:P469" si="106">O413-N413</f>
        <v>0</v>
      </c>
    </row>
    <row r="414" spans="1:16" ht="64.5" customHeight="1" x14ac:dyDescent="0.2">
      <c r="A414" s="42"/>
      <c r="B414" s="168" t="s">
        <v>31</v>
      </c>
      <c r="C414" s="169" t="s">
        <v>425</v>
      </c>
      <c r="D414" s="170" t="s">
        <v>32</v>
      </c>
      <c r="E414" s="171"/>
      <c r="F414" s="232">
        <v>35427.800000000003</v>
      </c>
      <c r="G414" s="232"/>
      <c r="H414" s="232">
        <f>SUM(F414)+G414</f>
        <v>35427.800000000003</v>
      </c>
      <c r="I414" s="233">
        <v>0</v>
      </c>
      <c r="J414" s="234"/>
      <c r="K414" s="233">
        <v>0</v>
      </c>
      <c r="L414" s="232">
        <f t="shared" ref="L414:M418" si="107">SUM(F414)</f>
        <v>35427.800000000003</v>
      </c>
      <c r="M414" s="232">
        <f t="shared" si="107"/>
        <v>0</v>
      </c>
      <c r="N414" s="232">
        <f>SUM(M414)+L414</f>
        <v>35427.800000000003</v>
      </c>
      <c r="O414" s="178">
        <f t="shared" si="105"/>
        <v>35427.800000000003</v>
      </c>
      <c r="P414" s="92">
        <f t="shared" si="106"/>
        <v>0</v>
      </c>
    </row>
    <row r="415" spans="1:16" ht="69.75" hidden="1" customHeight="1" x14ac:dyDescent="0.2">
      <c r="A415" s="42"/>
      <c r="B415" s="168" t="s">
        <v>502</v>
      </c>
      <c r="C415" s="169" t="s">
        <v>503</v>
      </c>
      <c r="D415" s="170"/>
      <c r="E415" s="171"/>
      <c r="F415" s="232"/>
      <c r="G415" s="232">
        <f>SUM(G416)</f>
        <v>0</v>
      </c>
      <c r="H415" s="232">
        <f>SUM(G415)</f>
        <v>0</v>
      </c>
      <c r="I415" s="233"/>
      <c r="J415" s="234"/>
      <c r="K415" s="233"/>
      <c r="L415" s="232"/>
      <c r="M415" s="232">
        <f>SUM(G415)</f>
        <v>0</v>
      </c>
      <c r="N415" s="232">
        <f>SUM(H415)</f>
        <v>0</v>
      </c>
      <c r="O415" s="178"/>
      <c r="P415" s="92"/>
    </row>
    <row r="416" spans="1:16" ht="69.75" hidden="1" customHeight="1" x14ac:dyDescent="0.2">
      <c r="A416" s="42"/>
      <c r="B416" s="168" t="s">
        <v>31</v>
      </c>
      <c r="C416" s="169" t="s">
        <v>503</v>
      </c>
      <c r="D416" s="170" t="s">
        <v>32</v>
      </c>
      <c r="E416" s="171"/>
      <c r="F416" s="232"/>
      <c r="G416" s="232"/>
      <c r="H416" s="232">
        <f>SUM(G416)</f>
        <v>0</v>
      </c>
      <c r="I416" s="233"/>
      <c r="J416" s="234"/>
      <c r="K416" s="233"/>
      <c r="L416" s="232"/>
      <c r="M416" s="232">
        <f>SUM(G416)</f>
        <v>0</v>
      </c>
      <c r="N416" s="232">
        <f>SUM(H416)</f>
        <v>0</v>
      </c>
      <c r="O416" s="178"/>
      <c r="P416" s="92"/>
    </row>
    <row r="417" spans="1:16" ht="31.5" x14ac:dyDescent="0.2">
      <c r="A417" s="42"/>
      <c r="B417" s="168" t="s">
        <v>35</v>
      </c>
      <c r="C417" s="169" t="s">
        <v>425</v>
      </c>
      <c r="D417" s="170" t="s">
        <v>36</v>
      </c>
      <c r="E417" s="171"/>
      <c r="F417" s="232">
        <v>260.7</v>
      </c>
      <c r="G417" s="232"/>
      <c r="H417" s="232">
        <v>260.7</v>
      </c>
      <c r="I417" s="233">
        <v>0</v>
      </c>
      <c r="J417" s="234"/>
      <c r="K417" s="233">
        <v>0</v>
      </c>
      <c r="L417" s="232">
        <f t="shared" si="107"/>
        <v>260.7</v>
      </c>
      <c r="M417" s="232">
        <f t="shared" si="107"/>
        <v>0</v>
      </c>
      <c r="N417" s="232">
        <f>SUM(H417)</f>
        <v>260.7</v>
      </c>
      <c r="O417" s="178">
        <f t="shared" si="105"/>
        <v>260.7</v>
      </c>
      <c r="P417" s="92">
        <f t="shared" si="106"/>
        <v>0</v>
      </c>
    </row>
    <row r="418" spans="1:16" ht="18.75" x14ac:dyDescent="0.2">
      <c r="A418" s="42"/>
      <c r="B418" s="168" t="s">
        <v>41</v>
      </c>
      <c r="C418" s="169" t="s">
        <v>425</v>
      </c>
      <c r="D418" s="170" t="s">
        <v>42</v>
      </c>
      <c r="E418" s="171"/>
      <c r="F418" s="232">
        <v>40</v>
      </c>
      <c r="G418" s="232"/>
      <c r="H418" s="232">
        <f>SUM(F418)+G418</f>
        <v>40</v>
      </c>
      <c r="I418" s="233">
        <v>0</v>
      </c>
      <c r="J418" s="234"/>
      <c r="K418" s="233">
        <v>0</v>
      </c>
      <c r="L418" s="232">
        <f t="shared" si="107"/>
        <v>40</v>
      </c>
      <c r="M418" s="232">
        <f t="shared" si="107"/>
        <v>0</v>
      </c>
      <c r="N418" s="232">
        <f>SUM(H418)</f>
        <v>40</v>
      </c>
      <c r="O418" s="178">
        <f t="shared" si="105"/>
        <v>40</v>
      </c>
      <c r="P418" s="92">
        <f t="shared" si="106"/>
        <v>0</v>
      </c>
    </row>
    <row r="419" spans="1:16" ht="78.75" x14ac:dyDescent="0.2">
      <c r="A419" s="42"/>
      <c r="B419" s="168" t="s">
        <v>502</v>
      </c>
      <c r="C419" s="169" t="s">
        <v>503</v>
      </c>
      <c r="D419" s="170"/>
      <c r="E419" s="171"/>
      <c r="F419" s="232"/>
      <c r="G419" s="232">
        <f>SUM(G420)</f>
        <v>8328.1</v>
      </c>
      <c r="H419" s="232">
        <f>SUM(G419)</f>
        <v>8328.1</v>
      </c>
      <c r="I419" s="233"/>
      <c r="J419" s="234"/>
      <c r="K419" s="233"/>
      <c r="L419" s="234"/>
      <c r="M419" s="232">
        <f>SUM(G419)</f>
        <v>8328.1</v>
      </c>
      <c r="N419" s="234">
        <f>SUM(H419)</f>
        <v>8328.1</v>
      </c>
      <c r="O419" s="178"/>
      <c r="P419" s="92"/>
    </row>
    <row r="420" spans="1:16" ht="63" x14ac:dyDescent="0.2">
      <c r="A420" s="42"/>
      <c r="B420" s="168" t="s">
        <v>31</v>
      </c>
      <c r="C420" s="169" t="s">
        <v>503</v>
      </c>
      <c r="D420" s="170" t="s">
        <v>32</v>
      </c>
      <c r="E420" s="171"/>
      <c r="F420" s="232"/>
      <c r="G420" s="232">
        <v>8328.1</v>
      </c>
      <c r="H420" s="232">
        <f>SUM(G420)</f>
        <v>8328.1</v>
      </c>
      <c r="I420" s="233"/>
      <c r="J420" s="234"/>
      <c r="K420" s="233"/>
      <c r="L420" s="234"/>
      <c r="M420" s="232">
        <f>SUM(G420)</f>
        <v>8328.1</v>
      </c>
      <c r="N420" s="234">
        <f>SUM(H420)</f>
        <v>8328.1</v>
      </c>
      <c r="O420" s="178"/>
      <c r="P420" s="92"/>
    </row>
    <row r="421" spans="1:16" ht="21.6" customHeight="1" x14ac:dyDescent="0.2">
      <c r="A421" s="49"/>
      <c r="B421" s="190" t="s">
        <v>426</v>
      </c>
      <c r="C421" s="191" t="s">
        <v>427</v>
      </c>
      <c r="D421" s="192" t="s">
        <v>26</v>
      </c>
      <c r="E421" s="193"/>
      <c r="F421" s="230">
        <f>F425</f>
        <v>0</v>
      </c>
      <c r="G421" s="230">
        <f>G425</f>
        <v>0</v>
      </c>
      <c r="H421" s="230">
        <f>H425</f>
        <v>0</v>
      </c>
      <c r="I421" s="231">
        <f>I425+I422</f>
        <v>768.1</v>
      </c>
      <c r="J421" s="278"/>
      <c r="K421" s="231">
        <f>K425+K422</f>
        <v>768.1</v>
      </c>
      <c r="L421" s="231">
        <f>L425+L422</f>
        <v>768.1</v>
      </c>
      <c r="M421" s="230">
        <f>M425</f>
        <v>0</v>
      </c>
      <c r="N421" s="231">
        <f>N425+N422</f>
        <v>768.1</v>
      </c>
      <c r="O421" s="178">
        <f t="shared" si="105"/>
        <v>768.1</v>
      </c>
      <c r="P421" s="92">
        <f t="shared" si="106"/>
        <v>0</v>
      </c>
    </row>
    <row r="422" spans="1:16" ht="125.45" customHeight="1" x14ac:dyDescent="0.2">
      <c r="A422" s="49"/>
      <c r="B422" s="237" t="s">
        <v>428</v>
      </c>
      <c r="C422" s="169" t="s">
        <v>429</v>
      </c>
      <c r="D422" s="170"/>
      <c r="E422" s="171"/>
      <c r="F422" s="232"/>
      <c r="G422" s="232"/>
      <c r="H422" s="232"/>
      <c r="I422" s="233">
        <f>SUM(I423+I424)</f>
        <v>755.7</v>
      </c>
      <c r="J422" s="234"/>
      <c r="K422" s="233">
        <f>SUM(I422)</f>
        <v>755.7</v>
      </c>
      <c r="L422" s="233">
        <f>SUM(L423+L424)</f>
        <v>755.7</v>
      </c>
      <c r="M422" s="232"/>
      <c r="N422" s="233">
        <f>SUM(N423+N424)</f>
        <v>755.7</v>
      </c>
      <c r="O422" s="178">
        <f t="shared" si="105"/>
        <v>755.7</v>
      </c>
      <c r="P422" s="92">
        <f t="shared" si="106"/>
        <v>0</v>
      </c>
    </row>
    <row r="423" spans="1:16" ht="66" customHeight="1" x14ac:dyDescent="0.2">
      <c r="A423" s="49"/>
      <c r="B423" s="168" t="s">
        <v>31</v>
      </c>
      <c r="C423" s="169" t="s">
        <v>429</v>
      </c>
      <c r="D423" s="170" t="s">
        <v>32</v>
      </c>
      <c r="E423" s="171"/>
      <c r="F423" s="232"/>
      <c r="G423" s="232"/>
      <c r="H423" s="232"/>
      <c r="I423" s="233">
        <v>755.7</v>
      </c>
      <c r="J423" s="234"/>
      <c r="K423" s="233">
        <v>755.7</v>
      </c>
      <c r="L423" s="233">
        <f>F423+I423</f>
        <v>755.7</v>
      </c>
      <c r="M423" s="232">
        <f>SUM(J423)</f>
        <v>0</v>
      </c>
      <c r="N423" s="233">
        <f>H423+K423</f>
        <v>755.7</v>
      </c>
      <c r="O423" s="178">
        <f t="shared" si="105"/>
        <v>755.7</v>
      </c>
      <c r="P423" s="92">
        <f t="shared" si="106"/>
        <v>0</v>
      </c>
    </row>
    <row r="424" spans="1:16" ht="23.45" customHeight="1" x14ac:dyDescent="0.2">
      <c r="A424" s="49"/>
      <c r="B424" s="168" t="s">
        <v>35</v>
      </c>
      <c r="C424" s="169" t="s">
        <v>429</v>
      </c>
      <c r="D424" s="170" t="s">
        <v>36</v>
      </c>
      <c r="E424" s="171"/>
      <c r="F424" s="232"/>
      <c r="G424" s="232"/>
      <c r="H424" s="232"/>
      <c r="I424" s="233">
        <v>0</v>
      </c>
      <c r="J424" s="234"/>
      <c r="K424" s="233">
        <v>0</v>
      </c>
      <c r="L424" s="233">
        <f>F424+I424</f>
        <v>0</v>
      </c>
      <c r="M424" s="232">
        <f>SUM(J424)</f>
        <v>0</v>
      </c>
      <c r="N424" s="233">
        <f>H424+K424</f>
        <v>0</v>
      </c>
      <c r="O424" s="178">
        <f t="shared" si="105"/>
        <v>0</v>
      </c>
      <c r="P424" s="92">
        <f t="shared" si="106"/>
        <v>0</v>
      </c>
    </row>
    <row r="425" spans="1:16" ht="47.25" x14ac:dyDescent="0.2">
      <c r="A425" s="42"/>
      <c r="B425" s="168" t="s">
        <v>430</v>
      </c>
      <c r="C425" s="169" t="s">
        <v>431</v>
      </c>
      <c r="D425" s="170" t="s">
        <v>26</v>
      </c>
      <c r="E425" s="171"/>
      <c r="F425" s="232">
        <f t="shared" ref="F425:N425" si="108">F426</f>
        <v>0</v>
      </c>
      <c r="G425" s="232">
        <f t="shared" si="108"/>
        <v>0</v>
      </c>
      <c r="H425" s="232">
        <f t="shared" si="108"/>
        <v>0</v>
      </c>
      <c r="I425" s="233">
        <f t="shared" si="108"/>
        <v>12.4</v>
      </c>
      <c r="J425" s="234"/>
      <c r="K425" s="233">
        <f t="shared" si="108"/>
        <v>12.4</v>
      </c>
      <c r="L425" s="232">
        <f t="shared" si="108"/>
        <v>12.4</v>
      </c>
      <c r="M425" s="232">
        <f t="shared" si="108"/>
        <v>0</v>
      </c>
      <c r="N425" s="232">
        <f t="shared" si="108"/>
        <v>12.4</v>
      </c>
      <c r="O425" s="178">
        <f t="shared" si="105"/>
        <v>12.4</v>
      </c>
      <c r="P425" s="92">
        <f t="shared" si="106"/>
        <v>0</v>
      </c>
    </row>
    <row r="426" spans="1:16" ht="31.5" x14ac:dyDescent="0.2">
      <c r="A426" s="42"/>
      <c r="B426" s="168" t="s">
        <v>35</v>
      </c>
      <c r="C426" s="169" t="s">
        <v>431</v>
      </c>
      <c r="D426" s="170" t="s">
        <v>36</v>
      </c>
      <c r="E426" s="171"/>
      <c r="F426" s="232">
        <v>0</v>
      </c>
      <c r="G426" s="232">
        <v>0</v>
      </c>
      <c r="H426" s="232">
        <v>0</v>
      </c>
      <c r="I426" s="233">
        <v>12.4</v>
      </c>
      <c r="J426" s="234"/>
      <c r="K426" s="233">
        <v>12.4</v>
      </c>
      <c r="L426" s="232">
        <v>12.4</v>
      </c>
      <c r="M426" s="232">
        <v>0</v>
      </c>
      <c r="N426" s="232">
        <v>12.4</v>
      </c>
      <c r="O426" s="178">
        <f t="shared" si="105"/>
        <v>12.4</v>
      </c>
      <c r="P426" s="92">
        <f t="shared" si="106"/>
        <v>0</v>
      </c>
    </row>
    <row r="427" spans="1:16" ht="18.75" x14ac:dyDescent="0.2">
      <c r="A427" s="49"/>
      <c r="B427" s="190" t="s">
        <v>432</v>
      </c>
      <c r="C427" s="191" t="s">
        <v>433</v>
      </c>
      <c r="D427" s="192" t="s">
        <v>26</v>
      </c>
      <c r="E427" s="193"/>
      <c r="F427" s="230">
        <f t="shared" ref="F427:N427" si="109">F428</f>
        <v>5693</v>
      </c>
      <c r="G427" s="230">
        <f t="shared" si="109"/>
        <v>0</v>
      </c>
      <c r="H427" s="230">
        <f t="shared" si="109"/>
        <v>5693</v>
      </c>
      <c r="I427" s="231">
        <f t="shared" si="109"/>
        <v>0</v>
      </c>
      <c r="J427" s="230">
        <f t="shared" si="109"/>
        <v>0</v>
      </c>
      <c r="K427" s="231">
        <f t="shared" si="109"/>
        <v>0</v>
      </c>
      <c r="L427" s="230">
        <f t="shared" si="109"/>
        <v>5693</v>
      </c>
      <c r="M427" s="230">
        <f t="shared" si="109"/>
        <v>0</v>
      </c>
      <c r="N427" s="230">
        <f t="shared" si="109"/>
        <v>5693</v>
      </c>
      <c r="O427" s="178">
        <f t="shared" si="105"/>
        <v>5693</v>
      </c>
      <c r="P427" s="92">
        <f t="shared" si="106"/>
        <v>0</v>
      </c>
    </row>
    <row r="428" spans="1:16" ht="31.5" x14ac:dyDescent="0.2">
      <c r="A428" s="42"/>
      <c r="B428" s="168" t="s">
        <v>434</v>
      </c>
      <c r="C428" s="169" t="s">
        <v>435</v>
      </c>
      <c r="D428" s="170" t="s">
        <v>26</v>
      </c>
      <c r="E428" s="171"/>
      <c r="F428" s="232">
        <f>F430+F429</f>
        <v>5693</v>
      </c>
      <c r="G428" s="232">
        <f>SUM(G430)+G429</f>
        <v>0</v>
      </c>
      <c r="H428" s="232">
        <f>H430+H429</f>
        <v>5693</v>
      </c>
      <c r="I428" s="233">
        <f>I430</f>
        <v>0</v>
      </c>
      <c r="J428" s="234"/>
      <c r="K428" s="233">
        <f>K430</f>
        <v>0</v>
      </c>
      <c r="L428" s="232">
        <f>SUM(F428)</f>
        <v>5693</v>
      </c>
      <c r="M428" s="232">
        <f>SUM(M430)+M429</f>
        <v>0</v>
      </c>
      <c r="N428" s="232">
        <f>SUM(H428)</f>
        <v>5693</v>
      </c>
      <c r="O428" s="178">
        <f t="shared" si="105"/>
        <v>5693</v>
      </c>
      <c r="P428" s="92">
        <f t="shared" si="106"/>
        <v>0</v>
      </c>
    </row>
    <row r="429" spans="1:16" ht="31.5" x14ac:dyDescent="0.2">
      <c r="A429" s="42"/>
      <c r="B429" s="168" t="s">
        <v>35</v>
      </c>
      <c r="C429" s="169" t="s">
        <v>435</v>
      </c>
      <c r="D429" s="170" t="s">
        <v>36</v>
      </c>
      <c r="E429" s="171"/>
      <c r="F429" s="232">
        <v>3772.3</v>
      </c>
      <c r="G429" s="232">
        <f>77+39.7</f>
        <v>116.7</v>
      </c>
      <c r="H429" s="232">
        <f>SUM(F429)+G429</f>
        <v>3889</v>
      </c>
      <c r="I429" s="233"/>
      <c r="J429" s="234"/>
      <c r="K429" s="233"/>
      <c r="L429" s="232">
        <f>SUM(F429)</f>
        <v>3772.3</v>
      </c>
      <c r="M429" s="232">
        <f>SUM(G429)</f>
        <v>116.7</v>
      </c>
      <c r="N429" s="232">
        <f>SUM(H429)</f>
        <v>3889</v>
      </c>
      <c r="O429" s="178">
        <f t="shared" si="105"/>
        <v>3889</v>
      </c>
      <c r="P429" s="92">
        <f t="shared" si="106"/>
        <v>0</v>
      </c>
    </row>
    <row r="430" spans="1:16" ht="18.75" x14ac:dyDescent="0.2">
      <c r="A430" s="42"/>
      <c r="B430" s="168" t="s">
        <v>41</v>
      </c>
      <c r="C430" s="169" t="s">
        <v>435</v>
      </c>
      <c r="D430" s="170" t="s">
        <v>42</v>
      </c>
      <c r="E430" s="171"/>
      <c r="F430" s="232">
        <v>1920.7</v>
      </c>
      <c r="G430" s="232">
        <f>-77-39.7</f>
        <v>-116.7</v>
      </c>
      <c r="H430" s="232">
        <f>F430+G430</f>
        <v>1804</v>
      </c>
      <c r="I430" s="233">
        <v>0</v>
      </c>
      <c r="J430" s="234"/>
      <c r="K430" s="233">
        <v>0</v>
      </c>
      <c r="L430" s="232">
        <f>F430</f>
        <v>1920.7</v>
      </c>
      <c r="M430" s="232">
        <f>SUM(G430)</f>
        <v>-116.7</v>
      </c>
      <c r="N430" s="232">
        <f>L430+M430</f>
        <v>1804</v>
      </c>
      <c r="O430" s="178">
        <f t="shared" si="105"/>
        <v>1804</v>
      </c>
      <c r="P430" s="92">
        <f t="shared" si="106"/>
        <v>0</v>
      </c>
    </row>
    <row r="431" spans="1:16" ht="37.15" customHeight="1" x14ac:dyDescent="0.2">
      <c r="A431" s="19" t="s">
        <v>436</v>
      </c>
      <c r="B431" s="182" t="s">
        <v>437</v>
      </c>
      <c r="C431" s="183" t="s">
        <v>438</v>
      </c>
      <c r="D431" s="184" t="s">
        <v>26</v>
      </c>
      <c r="E431" s="185"/>
      <c r="F431" s="235">
        <f>F435</f>
        <v>1343.9</v>
      </c>
      <c r="G431" s="238">
        <f>G435</f>
        <v>12.4</v>
      </c>
      <c r="H431" s="238">
        <f>H435</f>
        <v>1356.3000000000002</v>
      </c>
      <c r="I431" s="236">
        <f>I432</f>
        <v>0</v>
      </c>
      <c r="J431" s="239"/>
      <c r="K431" s="239"/>
      <c r="L431" s="239">
        <f>L435</f>
        <v>1343.9</v>
      </c>
      <c r="M431" s="239">
        <f>M435</f>
        <v>12.4</v>
      </c>
      <c r="N431" s="239">
        <f>N435</f>
        <v>1356.3000000000002</v>
      </c>
      <c r="O431" s="178">
        <f t="shared" si="105"/>
        <v>1356.3000000000002</v>
      </c>
      <c r="P431" s="92">
        <f t="shared" si="106"/>
        <v>0</v>
      </c>
    </row>
    <row r="432" spans="1:16" ht="27.6" hidden="1" customHeight="1" x14ac:dyDescent="0.2">
      <c r="A432" s="42"/>
      <c r="B432" s="168" t="s">
        <v>439</v>
      </c>
      <c r="C432" s="169" t="s">
        <v>440</v>
      </c>
      <c r="D432" s="170" t="s">
        <v>26</v>
      </c>
      <c r="E432" s="171"/>
      <c r="F432" s="232">
        <f>F433</f>
        <v>0</v>
      </c>
      <c r="G432" s="234"/>
      <c r="H432" s="234"/>
      <c r="I432" s="233">
        <f>I433</f>
        <v>0</v>
      </c>
      <c r="J432" s="240"/>
      <c r="K432" s="240"/>
      <c r="L432" s="240"/>
      <c r="M432" s="240"/>
      <c r="N432" s="240">
        <f>N433</f>
        <v>0</v>
      </c>
      <c r="O432" s="178">
        <f t="shared" si="105"/>
        <v>0</v>
      </c>
      <c r="P432" s="92">
        <f t="shared" si="106"/>
        <v>0</v>
      </c>
    </row>
    <row r="433" spans="1:16" ht="24.6" hidden="1" customHeight="1" x14ac:dyDescent="0.2">
      <c r="A433" s="42"/>
      <c r="B433" s="168" t="s">
        <v>441</v>
      </c>
      <c r="C433" s="169" t="s">
        <v>442</v>
      </c>
      <c r="D433" s="170" t="s">
        <v>26</v>
      </c>
      <c r="E433" s="171"/>
      <c r="F433" s="232"/>
      <c r="G433" s="234"/>
      <c r="H433" s="234"/>
      <c r="I433" s="233">
        <f>I439</f>
        <v>0</v>
      </c>
      <c r="J433" s="234"/>
      <c r="K433" s="234"/>
      <c r="L433" s="234"/>
      <c r="M433" s="234"/>
      <c r="N433" s="232"/>
      <c r="O433" s="178">
        <f t="shared" si="105"/>
        <v>0</v>
      </c>
      <c r="P433" s="92">
        <f t="shared" si="106"/>
        <v>0</v>
      </c>
    </row>
    <row r="434" spans="1:16" ht="28.15" hidden="1" customHeight="1" thickBot="1" x14ac:dyDescent="0.25">
      <c r="A434" s="57"/>
      <c r="B434" s="241" t="s">
        <v>41</v>
      </c>
      <c r="C434" s="242" t="s">
        <v>442</v>
      </c>
      <c r="D434" s="170" t="s">
        <v>42</v>
      </c>
      <c r="E434" s="171"/>
      <c r="F434" s="232"/>
      <c r="G434" s="234"/>
      <c r="H434" s="234"/>
      <c r="I434" s="233">
        <v>0</v>
      </c>
      <c r="J434" s="234"/>
      <c r="K434" s="234"/>
      <c r="L434" s="234"/>
      <c r="M434" s="234"/>
      <c r="N434" s="232"/>
      <c r="O434" s="178">
        <f t="shared" si="105"/>
        <v>0</v>
      </c>
      <c r="P434" s="92">
        <f t="shared" si="106"/>
        <v>0</v>
      </c>
    </row>
    <row r="435" spans="1:16" ht="31.5" x14ac:dyDescent="0.2">
      <c r="A435" s="57"/>
      <c r="B435" s="197" t="s">
        <v>439</v>
      </c>
      <c r="C435" s="218" t="s">
        <v>440</v>
      </c>
      <c r="D435" s="218"/>
      <c r="E435" s="218"/>
      <c r="F435" s="233">
        <v>1343.9</v>
      </c>
      <c r="G435" s="233">
        <f>SUM(G437)</f>
        <v>12.4</v>
      </c>
      <c r="H435" s="233">
        <f>SUM(F435)+G435</f>
        <v>1356.3000000000002</v>
      </c>
      <c r="I435" s="233"/>
      <c r="J435" s="233"/>
      <c r="K435" s="233"/>
      <c r="L435" s="233">
        <f>SUM(F435)</f>
        <v>1343.9</v>
      </c>
      <c r="M435" s="233">
        <f t="shared" ref="M435:N437" si="110">SUM(G435)</f>
        <v>12.4</v>
      </c>
      <c r="N435" s="233">
        <f t="shared" si="110"/>
        <v>1356.3000000000002</v>
      </c>
      <c r="O435" s="178">
        <f t="shared" si="105"/>
        <v>1356.3000000000002</v>
      </c>
      <c r="P435" s="92">
        <f t="shared" si="106"/>
        <v>0</v>
      </c>
    </row>
    <row r="436" spans="1:16" ht="31.5" x14ac:dyDescent="0.2">
      <c r="A436" s="57"/>
      <c r="B436" s="197" t="s">
        <v>441</v>
      </c>
      <c r="C436" s="199" t="s">
        <v>442</v>
      </c>
      <c r="D436" s="218"/>
      <c r="E436" s="218"/>
      <c r="F436" s="233">
        <v>1343.9</v>
      </c>
      <c r="G436" s="233">
        <f>SUM(G437)</f>
        <v>12.4</v>
      </c>
      <c r="H436" s="233">
        <f>SUM(F436)+G436</f>
        <v>1356.3000000000002</v>
      </c>
      <c r="I436" s="233"/>
      <c r="J436" s="233"/>
      <c r="K436" s="233"/>
      <c r="L436" s="233">
        <f>SUM(F436)</f>
        <v>1343.9</v>
      </c>
      <c r="M436" s="233">
        <f t="shared" si="110"/>
        <v>12.4</v>
      </c>
      <c r="N436" s="233">
        <f t="shared" si="110"/>
        <v>1356.3000000000002</v>
      </c>
      <c r="O436" s="178">
        <f t="shared" si="105"/>
        <v>1356.3000000000002</v>
      </c>
      <c r="P436" s="92">
        <f t="shared" si="106"/>
        <v>0</v>
      </c>
    </row>
    <row r="437" spans="1:16" ht="18.75" x14ac:dyDescent="0.2">
      <c r="A437" s="57"/>
      <c r="B437" s="168" t="s">
        <v>41</v>
      </c>
      <c r="C437" s="199" t="s">
        <v>442</v>
      </c>
      <c r="D437" s="218" t="s">
        <v>42</v>
      </c>
      <c r="E437" s="218"/>
      <c r="F437" s="233">
        <v>1343.9</v>
      </c>
      <c r="G437" s="233">
        <v>12.4</v>
      </c>
      <c r="H437" s="233">
        <f>SUM(F437)+G437</f>
        <v>1356.3000000000002</v>
      </c>
      <c r="I437" s="233"/>
      <c r="J437" s="233"/>
      <c r="K437" s="233"/>
      <c r="L437" s="233">
        <f>SUM(F437)</f>
        <v>1343.9</v>
      </c>
      <c r="M437" s="233">
        <f t="shared" si="110"/>
        <v>12.4</v>
      </c>
      <c r="N437" s="233">
        <f t="shared" si="110"/>
        <v>1356.3000000000002</v>
      </c>
      <c r="O437" s="178">
        <f t="shared" si="105"/>
        <v>1356.3000000000002</v>
      </c>
      <c r="P437" s="92">
        <f t="shared" si="106"/>
        <v>0</v>
      </c>
    </row>
    <row r="438" spans="1:16" ht="34.15" customHeight="1" x14ac:dyDescent="0.2">
      <c r="A438" s="57"/>
      <c r="B438" s="450" t="s">
        <v>443</v>
      </c>
      <c r="C438" s="451"/>
      <c r="D438" s="451"/>
      <c r="E438" s="451"/>
      <c r="F438" s="451"/>
      <c r="G438" s="451"/>
      <c r="H438" s="451"/>
      <c r="I438" s="451"/>
      <c r="J438" s="451"/>
      <c r="K438" s="451"/>
      <c r="L438" s="451"/>
      <c r="M438" s="451"/>
      <c r="N438" s="451"/>
      <c r="O438" s="178">
        <f t="shared" si="105"/>
        <v>0</v>
      </c>
      <c r="P438" s="92">
        <f t="shared" si="106"/>
        <v>0</v>
      </c>
    </row>
    <row r="439" spans="1:16" ht="16.5" customHeight="1" thickBot="1" x14ac:dyDescent="0.25">
      <c r="A439" s="70"/>
      <c r="B439" s="452"/>
      <c r="C439" s="453"/>
      <c r="D439" s="453"/>
      <c r="E439" s="453"/>
      <c r="F439" s="453"/>
      <c r="G439" s="453"/>
      <c r="H439" s="453"/>
      <c r="I439" s="453"/>
      <c r="J439" s="453"/>
      <c r="K439" s="453"/>
      <c r="L439" s="453"/>
      <c r="M439" s="453"/>
      <c r="N439" s="453"/>
      <c r="O439" s="178">
        <f t="shared" si="105"/>
        <v>0</v>
      </c>
      <c r="P439" s="92">
        <f t="shared" si="106"/>
        <v>0</v>
      </c>
    </row>
    <row r="440" spans="1:16" ht="18.75" x14ac:dyDescent="0.2">
      <c r="B440" s="244"/>
      <c r="C440" s="244"/>
      <c r="D440" s="244"/>
      <c r="E440" s="244"/>
      <c r="F440" s="244"/>
      <c r="G440" s="244"/>
      <c r="H440" s="244"/>
      <c r="I440" s="244"/>
      <c r="J440" s="244"/>
      <c r="K440" s="244"/>
      <c r="L440" s="244"/>
      <c r="M440" s="244"/>
      <c r="N440" s="244"/>
      <c r="O440" s="178">
        <f t="shared" si="105"/>
        <v>0</v>
      </c>
      <c r="P440" s="92">
        <f t="shared" si="106"/>
        <v>0</v>
      </c>
    </row>
    <row r="441" spans="1:16" ht="18.75" x14ac:dyDescent="0.2">
      <c r="B441" s="244"/>
      <c r="C441" s="244"/>
      <c r="D441" s="244"/>
      <c r="E441" s="244"/>
      <c r="F441" s="244"/>
      <c r="G441" s="244"/>
      <c r="H441" s="244"/>
      <c r="I441" s="244"/>
      <c r="J441" s="244"/>
      <c r="K441" s="244"/>
      <c r="L441" s="244"/>
      <c r="M441" s="244"/>
      <c r="N441" s="244"/>
      <c r="O441" s="178">
        <f t="shared" si="105"/>
        <v>0</v>
      </c>
      <c r="P441" s="92">
        <f t="shared" si="106"/>
        <v>0</v>
      </c>
    </row>
    <row r="442" spans="1:16" ht="18.75" x14ac:dyDescent="0.2">
      <c r="B442" s="244"/>
      <c r="C442" s="244"/>
      <c r="D442" s="244"/>
      <c r="E442" s="244"/>
      <c r="F442" s="244"/>
      <c r="G442" s="244"/>
      <c r="H442" s="244"/>
      <c r="I442" s="244"/>
      <c r="J442" s="244"/>
      <c r="K442" s="244"/>
      <c r="L442" s="244"/>
      <c r="M442" s="244"/>
      <c r="N442" s="244"/>
      <c r="O442" s="178">
        <f t="shared" si="105"/>
        <v>0</v>
      </c>
      <c r="P442" s="92">
        <f t="shared" si="106"/>
        <v>0</v>
      </c>
    </row>
    <row r="443" spans="1:16" ht="18.75" x14ac:dyDescent="0.2">
      <c r="B443" s="244"/>
      <c r="C443" s="244"/>
      <c r="D443" s="244"/>
      <c r="E443" s="244"/>
      <c r="F443" s="244"/>
      <c r="G443" s="244"/>
      <c r="H443" s="244"/>
      <c r="I443" s="244"/>
      <c r="J443" s="244"/>
      <c r="K443" s="244"/>
      <c r="L443" s="244"/>
      <c r="M443" s="244"/>
      <c r="N443" s="244"/>
      <c r="O443" s="178">
        <f t="shared" si="105"/>
        <v>0</v>
      </c>
      <c r="P443" s="92">
        <f t="shared" si="106"/>
        <v>0</v>
      </c>
    </row>
    <row r="444" spans="1:16" ht="18.75" x14ac:dyDescent="0.2">
      <c r="B444" s="244"/>
      <c r="C444" s="244"/>
      <c r="D444" s="244"/>
      <c r="E444" s="244"/>
      <c r="F444" s="244"/>
      <c r="G444" s="244"/>
      <c r="H444" s="244"/>
      <c r="I444" s="244"/>
      <c r="J444" s="244"/>
      <c r="K444" s="244"/>
      <c r="L444" s="244"/>
      <c r="M444" s="244"/>
      <c r="N444" s="244"/>
      <c r="O444" s="178">
        <f t="shared" si="105"/>
        <v>0</v>
      </c>
      <c r="P444" s="92">
        <f t="shared" si="106"/>
        <v>0</v>
      </c>
    </row>
    <row r="445" spans="1:16" ht="18.75" x14ac:dyDescent="0.2">
      <c r="B445" s="244"/>
      <c r="C445" s="244"/>
      <c r="D445" s="244"/>
      <c r="E445" s="244"/>
      <c r="F445" s="244"/>
      <c r="G445" s="244"/>
      <c r="H445" s="244"/>
      <c r="I445" s="244"/>
      <c r="J445" s="244"/>
      <c r="K445" s="244"/>
      <c r="L445" s="244"/>
      <c r="M445" s="244"/>
      <c r="N445" s="244"/>
      <c r="O445" s="178">
        <f t="shared" si="105"/>
        <v>0</v>
      </c>
      <c r="P445" s="92">
        <f t="shared" si="106"/>
        <v>0</v>
      </c>
    </row>
    <row r="446" spans="1:16" ht="18.75" x14ac:dyDescent="0.2">
      <c r="B446" s="244"/>
      <c r="C446" s="244"/>
      <c r="D446" s="244"/>
      <c r="E446" s="244"/>
      <c r="F446" s="244"/>
      <c r="G446" s="244"/>
      <c r="H446" s="244"/>
      <c r="I446" s="244"/>
      <c r="J446" s="244"/>
      <c r="K446" s="244"/>
      <c r="L446" s="244"/>
      <c r="M446" s="244"/>
      <c r="N446" s="244"/>
      <c r="O446" s="178">
        <f t="shared" si="105"/>
        <v>0</v>
      </c>
      <c r="P446" s="92">
        <f t="shared" si="106"/>
        <v>0</v>
      </c>
    </row>
    <row r="447" spans="1:16" ht="18.75" x14ac:dyDescent="0.2">
      <c r="B447" s="244"/>
      <c r="C447" s="244"/>
      <c r="D447" s="244"/>
      <c r="E447" s="244"/>
      <c r="F447" s="244"/>
      <c r="G447" s="244"/>
      <c r="H447" s="244"/>
      <c r="I447" s="244"/>
      <c r="J447" s="244"/>
      <c r="K447" s="244"/>
      <c r="L447" s="244"/>
      <c r="M447" s="244"/>
      <c r="N447" s="244"/>
      <c r="O447" s="178">
        <f t="shared" si="105"/>
        <v>0</v>
      </c>
      <c r="P447" s="92">
        <f t="shared" si="106"/>
        <v>0</v>
      </c>
    </row>
    <row r="448" spans="1:16" ht="18.75" x14ac:dyDescent="0.2">
      <c r="B448" s="244"/>
      <c r="C448" s="244"/>
      <c r="D448" s="244"/>
      <c r="E448" s="244"/>
      <c r="F448" s="244"/>
      <c r="G448" s="244"/>
      <c r="H448" s="244"/>
      <c r="I448" s="244"/>
      <c r="J448" s="244"/>
      <c r="K448" s="244"/>
      <c r="L448" s="244"/>
      <c r="M448" s="244"/>
      <c r="N448" s="244"/>
      <c r="O448" s="178">
        <f t="shared" si="105"/>
        <v>0</v>
      </c>
      <c r="P448" s="92">
        <f t="shared" si="106"/>
        <v>0</v>
      </c>
    </row>
    <row r="449" spans="2:16" ht="18.75" x14ac:dyDescent="0.2">
      <c r="B449" s="244"/>
      <c r="C449" s="244"/>
      <c r="D449" s="244"/>
      <c r="E449" s="244"/>
      <c r="F449" s="244"/>
      <c r="G449" s="244"/>
      <c r="H449" s="244"/>
      <c r="I449" s="244"/>
      <c r="J449" s="244"/>
      <c r="K449" s="244"/>
      <c r="L449" s="244"/>
      <c r="M449" s="244"/>
      <c r="N449" s="244"/>
      <c r="O449" s="178">
        <f t="shared" si="105"/>
        <v>0</v>
      </c>
      <c r="P449" s="92">
        <f t="shared" si="106"/>
        <v>0</v>
      </c>
    </row>
    <row r="450" spans="2:16" ht="18.75" x14ac:dyDescent="0.2">
      <c r="B450" s="244"/>
      <c r="C450" s="244"/>
      <c r="D450" s="244"/>
      <c r="E450" s="244"/>
      <c r="F450" s="244"/>
      <c r="G450" s="244"/>
      <c r="H450" s="244"/>
      <c r="I450" s="244"/>
      <c r="J450" s="244"/>
      <c r="K450" s="244"/>
      <c r="L450" s="244"/>
      <c r="M450" s="244"/>
      <c r="N450" s="244"/>
      <c r="O450" s="178">
        <f t="shared" si="105"/>
        <v>0</v>
      </c>
      <c r="P450" s="92">
        <f t="shared" si="106"/>
        <v>0</v>
      </c>
    </row>
    <row r="451" spans="2:16" ht="18.75" x14ac:dyDescent="0.2">
      <c r="B451" s="244"/>
      <c r="C451" s="244"/>
      <c r="D451" s="244"/>
      <c r="E451" s="244"/>
      <c r="F451" s="244"/>
      <c r="G451" s="244"/>
      <c r="H451" s="244"/>
      <c r="I451" s="244"/>
      <c r="J451" s="244"/>
      <c r="K451" s="244"/>
      <c r="L451" s="244"/>
      <c r="M451" s="244"/>
      <c r="N451" s="244"/>
      <c r="O451" s="178">
        <f t="shared" si="105"/>
        <v>0</v>
      </c>
      <c r="P451" s="92">
        <f t="shared" si="106"/>
        <v>0</v>
      </c>
    </row>
    <row r="452" spans="2:16" ht="18.75" x14ac:dyDescent="0.2">
      <c r="B452" s="244"/>
      <c r="C452" s="244"/>
      <c r="D452" s="244"/>
      <c r="E452" s="244"/>
      <c r="F452" s="244"/>
      <c r="G452" s="244"/>
      <c r="H452" s="244"/>
      <c r="I452" s="244"/>
      <c r="J452" s="244"/>
      <c r="K452" s="244"/>
      <c r="L452" s="244"/>
      <c r="M452" s="244"/>
      <c r="N452" s="244"/>
      <c r="O452" s="178">
        <f t="shared" si="105"/>
        <v>0</v>
      </c>
      <c r="P452" s="92">
        <f t="shared" si="106"/>
        <v>0</v>
      </c>
    </row>
    <row r="453" spans="2:16" ht="18.75" x14ac:dyDescent="0.2">
      <c r="B453" s="244"/>
      <c r="C453" s="244"/>
      <c r="D453" s="244"/>
      <c r="E453" s="244"/>
      <c r="F453" s="244"/>
      <c r="G453" s="244"/>
      <c r="H453" s="244"/>
      <c r="I453" s="244"/>
      <c r="J453" s="244"/>
      <c r="K453" s="244"/>
      <c r="L453" s="244"/>
      <c r="M453" s="244"/>
      <c r="N453" s="244"/>
      <c r="O453" s="178">
        <f t="shared" si="105"/>
        <v>0</v>
      </c>
      <c r="P453" s="92">
        <f t="shared" si="106"/>
        <v>0</v>
      </c>
    </row>
    <row r="454" spans="2:16" ht="18.75" x14ac:dyDescent="0.2">
      <c r="B454" s="244"/>
      <c r="C454" s="244"/>
      <c r="D454" s="244"/>
      <c r="E454" s="244"/>
      <c r="F454" s="244"/>
      <c r="G454" s="244"/>
      <c r="H454" s="244"/>
      <c r="I454" s="244"/>
      <c r="J454" s="244"/>
      <c r="K454" s="244"/>
      <c r="L454" s="244"/>
      <c r="M454" s="244"/>
      <c r="N454" s="244"/>
      <c r="O454" s="178">
        <f t="shared" si="105"/>
        <v>0</v>
      </c>
      <c r="P454" s="92">
        <f t="shared" si="106"/>
        <v>0</v>
      </c>
    </row>
    <row r="455" spans="2:16" ht="18.75" x14ac:dyDescent="0.2">
      <c r="B455" s="244"/>
      <c r="C455" s="244"/>
      <c r="D455" s="244"/>
      <c r="E455" s="244"/>
      <c r="F455" s="244"/>
      <c r="G455" s="244"/>
      <c r="H455" s="244"/>
      <c r="I455" s="244"/>
      <c r="J455" s="244"/>
      <c r="K455" s="244"/>
      <c r="L455" s="244"/>
      <c r="M455" s="244"/>
      <c r="N455" s="244"/>
      <c r="O455" s="178">
        <f t="shared" si="105"/>
        <v>0</v>
      </c>
      <c r="P455" s="92">
        <f t="shared" si="106"/>
        <v>0</v>
      </c>
    </row>
    <row r="456" spans="2:16" ht="18.75" x14ac:dyDescent="0.2">
      <c r="B456" s="244"/>
      <c r="C456" s="244"/>
      <c r="D456" s="244"/>
      <c r="E456" s="244"/>
      <c r="F456" s="244"/>
      <c r="G456" s="244"/>
      <c r="H456" s="244"/>
      <c r="I456" s="244"/>
      <c r="J456" s="244"/>
      <c r="K456" s="244"/>
      <c r="L456" s="244"/>
      <c r="M456" s="244"/>
      <c r="N456" s="244"/>
      <c r="O456" s="178">
        <f t="shared" si="105"/>
        <v>0</v>
      </c>
      <c r="P456" s="92">
        <f t="shared" si="106"/>
        <v>0</v>
      </c>
    </row>
    <row r="457" spans="2:16" ht="18.75" x14ac:dyDescent="0.2">
      <c r="B457" s="244"/>
      <c r="C457" s="244"/>
      <c r="D457" s="244"/>
      <c r="E457" s="244"/>
      <c r="F457" s="244"/>
      <c r="G457" s="244"/>
      <c r="H457" s="244"/>
      <c r="I457" s="244"/>
      <c r="J457" s="244"/>
      <c r="K457" s="244"/>
      <c r="L457" s="244"/>
      <c r="M457" s="244"/>
      <c r="N457" s="244"/>
      <c r="O457" s="178">
        <f t="shared" si="105"/>
        <v>0</v>
      </c>
      <c r="P457" s="92">
        <f t="shared" si="106"/>
        <v>0</v>
      </c>
    </row>
    <row r="458" spans="2:16" ht="18.75" x14ac:dyDescent="0.2">
      <c r="B458" s="244"/>
      <c r="C458" s="244"/>
      <c r="D458" s="244"/>
      <c r="E458" s="244"/>
      <c r="F458" s="244"/>
      <c r="G458" s="244"/>
      <c r="H458" s="244"/>
      <c r="I458" s="244"/>
      <c r="J458" s="244"/>
      <c r="K458" s="244"/>
      <c r="L458" s="244"/>
      <c r="M458" s="244"/>
      <c r="N458" s="244"/>
      <c r="O458" s="178">
        <f t="shared" si="105"/>
        <v>0</v>
      </c>
      <c r="P458" s="92">
        <f t="shared" si="106"/>
        <v>0</v>
      </c>
    </row>
    <row r="459" spans="2:16" ht="18.75" x14ac:dyDescent="0.2">
      <c r="B459" s="244"/>
      <c r="C459" s="244"/>
      <c r="D459" s="244"/>
      <c r="E459" s="244"/>
      <c r="F459" s="244"/>
      <c r="G459" s="244"/>
      <c r="H459" s="244"/>
      <c r="I459" s="244"/>
      <c r="J459" s="244"/>
      <c r="K459" s="244"/>
      <c r="L459" s="244"/>
      <c r="M459" s="244"/>
      <c r="N459" s="244"/>
      <c r="O459" s="178">
        <f t="shared" si="105"/>
        <v>0</v>
      </c>
      <c r="P459" s="92">
        <f t="shared" si="106"/>
        <v>0</v>
      </c>
    </row>
    <row r="460" spans="2:16" ht="18.75" x14ac:dyDescent="0.2">
      <c r="B460" s="244"/>
      <c r="C460" s="244"/>
      <c r="D460" s="244"/>
      <c r="E460" s="244"/>
      <c r="F460" s="244"/>
      <c r="G460" s="244"/>
      <c r="H460" s="244"/>
      <c r="I460" s="244"/>
      <c r="J460" s="244"/>
      <c r="K460" s="244"/>
      <c r="L460" s="244"/>
      <c r="M460" s="244"/>
      <c r="N460" s="244"/>
      <c r="O460" s="178">
        <f t="shared" si="105"/>
        <v>0</v>
      </c>
      <c r="P460" s="92">
        <f t="shared" si="106"/>
        <v>0</v>
      </c>
    </row>
    <row r="461" spans="2:16" ht="18.75" x14ac:dyDescent="0.2">
      <c r="B461" s="244"/>
      <c r="C461" s="244"/>
      <c r="D461" s="244"/>
      <c r="E461" s="244"/>
      <c r="F461" s="244"/>
      <c r="G461" s="244"/>
      <c r="H461" s="244"/>
      <c r="I461" s="244"/>
      <c r="J461" s="244"/>
      <c r="K461" s="244"/>
      <c r="L461" s="244"/>
      <c r="M461" s="244"/>
      <c r="N461" s="244"/>
      <c r="O461" s="178">
        <f t="shared" si="105"/>
        <v>0</v>
      </c>
      <c r="P461" s="92">
        <f t="shared" si="106"/>
        <v>0</v>
      </c>
    </row>
    <row r="462" spans="2:16" ht="18.75" x14ac:dyDescent="0.2">
      <c r="B462" s="244"/>
      <c r="C462" s="244"/>
      <c r="D462" s="244"/>
      <c r="E462" s="244"/>
      <c r="F462" s="244"/>
      <c r="G462" s="244"/>
      <c r="H462" s="244"/>
      <c r="I462" s="244"/>
      <c r="J462" s="244"/>
      <c r="K462" s="244"/>
      <c r="L462" s="244"/>
      <c r="M462" s="244"/>
      <c r="N462" s="244"/>
      <c r="O462" s="178">
        <f t="shared" si="105"/>
        <v>0</v>
      </c>
      <c r="P462" s="92">
        <f t="shared" si="106"/>
        <v>0</v>
      </c>
    </row>
    <row r="463" spans="2:16" ht="18.75" x14ac:dyDescent="0.2">
      <c r="B463" s="244"/>
      <c r="C463" s="244"/>
      <c r="D463" s="244"/>
      <c r="E463" s="244"/>
      <c r="F463" s="244"/>
      <c r="G463" s="244"/>
      <c r="H463" s="244"/>
      <c r="I463" s="244"/>
      <c r="J463" s="244"/>
      <c r="K463" s="244"/>
      <c r="L463" s="244"/>
      <c r="M463" s="244"/>
      <c r="N463" s="244"/>
      <c r="O463" s="178">
        <f t="shared" si="105"/>
        <v>0</v>
      </c>
      <c r="P463" s="92">
        <f t="shared" si="106"/>
        <v>0</v>
      </c>
    </row>
    <row r="464" spans="2:16" ht="18.75" x14ac:dyDescent="0.2">
      <c r="B464" s="244"/>
      <c r="C464" s="244"/>
      <c r="D464" s="244"/>
      <c r="E464" s="244"/>
      <c r="F464" s="244"/>
      <c r="G464" s="244"/>
      <c r="H464" s="244"/>
      <c r="I464" s="244"/>
      <c r="J464" s="244"/>
      <c r="K464" s="244"/>
      <c r="L464" s="244"/>
      <c r="M464" s="244"/>
      <c r="N464" s="244"/>
      <c r="O464" s="178">
        <f t="shared" si="105"/>
        <v>0</v>
      </c>
      <c r="P464" s="92">
        <f t="shared" si="106"/>
        <v>0</v>
      </c>
    </row>
    <row r="465" spans="2:16" ht="18.75" x14ac:dyDescent="0.2">
      <c r="B465" s="244"/>
      <c r="C465" s="244"/>
      <c r="D465" s="244"/>
      <c r="E465" s="244"/>
      <c r="F465" s="244"/>
      <c r="G465" s="244"/>
      <c r="H465" s="244"/>
      <c r="I465" s="244"/>
      <c r="J465" s="244"/>
      <c r="K465" s="244"/>
      <c r="L465" s="244"/>
      <c r="M465" s="244"/>
      <c r="N465" s="244"/>
      <c r="O465" s="178">
        <f t="shared" si="105"/>
        <v>0</v>
      </c>
      <c r="P465" s="92">
        <f t="shared" si="106"/>
        <v>0</v>
      </c>
    </row>
    <row r="466" spans="2:16" ht="18.75" x14ac:dyDescent="0.2">
      <c r="B466" s="244"/>
      <c r="C466" s="244"/>
      <c r="D466" s="244"/>
      <c r="E466" s="244"/>
      <c r="F466" s="244"/>
      <c r="G466" s="244"/>
      <c r="H466" s="244"/>
      <c r="I466" s="244"/>
      <c r="J466" s="244"/>
      <c r="K466" s="244"/>
      <c r="L466" s="244"/>
      <c r="M466" s="244"/>
      <c r="N466" s="244"/>
      <c r="O466" s="178">
        <f t="shared" si="105"/>
        <v>0</v>
      </c>
      <c r="P466" s="92">
        <f t="shared" si="106"/>
        <v>0</v>
      </c>
    </row>
    <row r="467" spans="2:16" ht="18.75" x14ac:dyDescent="0.2">
      <c r="B467" s="244"/>
      <c r="C467" s="244"/>
      <c r="D467" s="244"/>
      <c r="E467" s="244"/>
      <c r="F467" s="244"/>
      <c r="G467" s="244"/>
      <c r="H467" s="244"/>
      <c r="I467" s="244"/>
      <c r="J467" s="244"/>
      <c r="K467" s="244"/>
      <c r="L467" s="244"/>
      <c r="M467" s="244"/>
      <c r="N467" s="244"/>
      <c r="O467" s="178">
        <f t="shared" si="105"/>
        <v>0</v>
      </c>
      <c r="P467" s="92">
        <f t="shared" si="106"/>
        <v>0</v>
      </c>
    </row>
    <row r="468" spans="2:16" ht="18.75" x14ac:dyDescent="0.2">
      <c r="B468" s="244"/>
      <c r="C468" s="244"/>
      <c r="D468" s="244"/>
      <c r="E468" s="244"/>
      <c r="F468" s="244"/>
      <c r="G468" s="244"/>
      <c r="H468" s="244"/>
      <c r="I468" s="244"/>
      <c r="J468" s="244"/>
      <c r="K468" s="244"/>
      <c r="L468" s="244"/>
      <c r="M468" s="244"/>
      <c r="N468" s="244"/>
      <c r="O468" s="178">
        <f t="shared" si="105"/>
        <v>0</v>
      </c>
      <c r="P468" s="92">
        <f t="shared" si="106"/>
        <v>0</v>
      </c>
    </row>
    <row r="469" spans="2:16" ht="18.75" x14ac:dyDescent="0.2">
      <c r="B469" s="244"/>
      <c r="C469" s="244"/>
      <c r="D469" s="244"/>
      <c r="E469" s="244"/>
      <c r="F469" s="244"/>
      <c r="G469" s="244"/>
      <c r="H469" s="244"/>
      <c r="I469" s="244"/>
      <c r="J469" s="244"/>
      <c r="K469" s="244"/>
      <c r="L469" s="244"/>
      <c r="M469" s="244"/>
      <c r="N469" s="244"/>
      <c r="O469" s="178">
        <f t="shared" si="105"/>
        <v>0</v>
      </c>
      <c r="P469" s="92">
        <f t="shared" si="106"/>
        <v>0</v>
      </c>
    </row>
    <row r="470" spans="2:16" x14ac:dyDescent="0.2">
      <c r="B470" s="244"/>
      <c r="C470" s="244"/>
      <c r="D470" s="244"/>
      <c r="E470" s="244"/>
      <c r="F470" s="244"/>
      <c r="G470" s="244"/>
      <c r="H470" s="244"/>
      <c r="I470" s="244"/>
      <c r="J470" s="244"/>
      <c r="K470" s="244"/>
      <c r="L470" s="244"/>
      <c r="M470" s="244"/>
      <c r="N470" s="244"/>
      <c r="O470" s="244"/>
    </row>
    <row r="471" spans="2:16" x14ac:dyDescent="0.2">
      <c r="B471" s="244"/>
      <c r="C471" s="244"/>
      <c r="D471" s="244"/>
      <c r="E471" s="244"/>
      <c r="F471" s="244"/>
      <c r="G471" s="244"/>
      <c r="H471" s="244"/>
      <c r="I471" s="244"/>
      <c r="J471" s="244"/>
      <c r="K471" s="244"/>
      <c r="L471" s="244"/>
      <c r="M471" s="244"/>
      <c r="N471" s="244"/>
      <c r="O471" s="244"/>
    </row>
    <row r="472" spans="2:16" x14ac:dyDescent="0.2">
      <c r="B472" s="244"/>
      <c r="C472" s="244"/>
      <c r="D472" s="244"/>
      <c r="E472" s="244"/>
      <c r="F472" s="244"/>
      <c r="G472" s="244"/>
      <c r="H472" s="244"/>
      <c r="I472" s="244"/>
      <c r="J472" s="244"/>
      <c r="K472" s="244"/>
      <c r="L472" s="244"/>
      <c r="M472" s="244"/>
      <c r="N472" s="244"/>
      <c r="O472" s="244"/>
    </row>
    <row r="473" spans="2:16" x14ac:dyDescent="0.2">
      <c r="B473" s="244"/>
      <c r="C473" s="244"/>
      <c r="D473" s="244"/>
      <c r="E473" s="244"/>
      <c r="F473" s="244"/>
      <c r="G473" s="244"/>
      <c r="H473" s="244"/>
      <c r="I473" s="244"/>
      <c r="J473" s="244"/>
      <c r="K473" s="244"/>
      <c r="L473" s="244"/>
      <c r="M473" s="244"/>
      <c r="N473" s="244"/>
      <c r="O473" s="244"/>
    </row>
    <row r="474" spans="2:16" x14ac:dyDescent="0.2">
      <c r="B474" s="244"/>
      <c r="C474" s="244"/>
      <c r="D474" s="244"/>
      <c r="E474" s="244"/>
      <c r="F474" s="244"/>
      <c r="G474" s="244"/>
      <c r="H474" s="244"/>
      <c r="I474" s="244"/>
      <c r="J474" s="244"/>
      <c r="K474" s="244"/>
      <c r="L474" s="244"/>
      <c r="M474" s="244"/>
      <c r="N474" s="244"/>
      <c r="O474" s="244"/>
    </row>
    <row r="475" spans="2:16" x14ac:dyDescent="0.2">
      <c r="B475" s="244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44"/>
      <c r="N475" s="244"/>
      <c r="O475" s="244"/>
    </row>
    <row r="476" spans="2:16" x14ac:dyDescent="0.2">
      <c r="B476" s="244"/>
      <c r="C476" s="244"/>
      <c r="D476" s="244"/>
      <c r="E476" s="244"/>
      <c r="F476" s="244"/>
      <c r="G476" s="244"/>
      <c r="H476" s="244"/>
      <c r="I476" s="244"/>
      <c r="J476" s="244"/>
      <c r="K476" s="244"/>
      <c r="L476" s="244"/>
      <c r="M476" s="244"/>
      <c r="N476" s="244"/>
      <c r="O476" s="244"/>
    </row>
    <row r="477" spans="2:16" x14ac:dyDescent="0.2">
      <c r="B477" s="244"/>
      <c r="C477" s="244"/>
      <c r="D477" s="244"/>
      <c r="E477" s="244"/>
      <c r="F477" s="244"/>
      <c r="G477" s="244"/>
      <c r="H477" s="244"/>
      <c r="I477" s="244"/>
      <c r="J477" s="244"/>
      <c r="K477" s="244"/>
      <c r="L477" s="244"/>
      <c r="M477" s="244"/>
      <c r="N477" s="244"/>
      <c r="O477" s="244"/>
    </row>
    <row r="478" spans="2:16" x14ac:dyDescent="0.2">
      <c r="B478" s="244"/>
      <c r="C478" s="244"/>
      <c r="D478" s="244"/>
      <c r="E478" s="244"/>
      <c r="F478" s="244"/>
      <c r="G478" s="244"/>
      <c r="H478" s="244"/>
      <c r="I478" s="244"/>
      <c r="J478" s="244"/>
      <c r="K478" s="244"/>
      <c r="L478" s="244"/>
      <c r="M478" s="244"/>
      <c r="N478" s="244"/>
      <c r="O478" s="244"/>
    </row>
    <row r="479" spans="2:16" x14ac:dyDescent="0.2">
      <c r="B479" s="244"/>
      <c r="C479" s="244"/>
      <c r="D479" s="244"/>
      <c r="E479" s="244"/>
      <c r="F479" s="244"/>
      <c r="G479" s="244"/>
      <c r="H479" s="244"/>
      <c r="I479" s="244"/>
      <c r="J479" s="244"/>
      <c r="K479" s="244"/>
      <c r="L479" s="244"/>
      <c r="M479" s="244"/>
      <c r="N479" s="244"/>
      <c r="O479" s="244"/>
    </row>
    <row r="480" spans="2:16" x14ac:dyDescent="0.2">
      <c r="B480" s="244"/>
      <c r="C480" s="244"/>
      <c r="D480" s="244"/>
      <c r="E480" s="244"/>
      <c r="F480" s="244"/>
      <c r="G480" s="244"/>
      <c r="H480" s="244"/>
      <c r="I480" s="244"/>
      <c r="J480" s="244"/>
      <c r="K480" s="244"/>
      <c r="L480" s="244"/>
      <c r="M480" s="244"/>
      <c r="N480" s="244"/>
      <c r="O480" s="244"/>
    </row>
    <row r="481" spans="2:15" x14ac:dyDescent="0.2">
      <c r="B481" s="244"/>
      <c r="C481" s="244"/>
      <c r="D481" s="244"/>
      <c r="E481" s="244"/>
      <c r="F481" s="244"/>
      <c r="G481" s="244"/>
      <c r="H481" s="244"/>
      <c r="I481" s="244"/>
      <c r="J481" s="244"/>
      <c r="K481" s="244"/>
      <c r="L481" s="244"/>
      <c r="M481" s="244"/>
      <c r="N481" s="244"/>
      <c r="O481" s="244"/>
    </row>
    <row r="482" spans="2:15" x14ac:dyDescent="0.2">
      <c r="B482" s="244"/>
      <c r="C482" s="244"/>
      <c r="D482" s="244"/>
      <c r="E482" s="244"/>
      <c r="F482" s="244"/>
      <c r="G482" s="244"/>
      <c r="H482" s="244"/>
      <c r="I482" s="244"/>
      <c r="J482" s="244"/>
      <c r="K482" s="244"/>
      <c r="L482" s="244"/>
      <c r="M482" s="244"/>
      <c r="N482" s="244"/>
      <c r="O482" s="244"/>
    </row>
    <row r="483" spans="2:15" x14ac:dyDescent="0.2">
      <c r="B483" s="244"/>
      <c r="C483" s="244"/>
      <c r="D483" s="244"/>
      <c r="E483" s="244"/>
      <c r="F483" s="244"/>
      <c r="G483" s="244"/>
      <c r="H483" s="244"/>
      <c r="I483" s="244"/>
      <c r="J483" s="244"/>
      <c r="K483" s="244"/>
      <c r="L483" s="244"/>
      <c r="M483" s="244"/>
      <c r="N483" s="244"/>
      <c r="O483" s="244"/>
    </row>
    <row r="484" spans="2:15" x14ac:dyDescent="0.2">
      <c r="B484" s="244"/>
      <c r="C484" s="244"/>
      <c r="D484" s="244"/>
      <c r="E484" s="244"/>
      <c r="F484" s="244"/>
      <c r="G484" s="244"/>
      <c r="H484" s="244"/>
      <c r="I484" s="244"/>
      <c r="J484" s="244"/>
      <c r="K484" s="244"/>
      <c r="L484" s="244"/>
      <c r="M484" s="244"/>
      <c r="N484" s="244"/>
      <c r="O484" s="244"/>
    </row>
    <row r="485" spans="2:15" x14ac:dyDescent="0.2">
      <c r="B485" s="244"/>
      <c r="C485" s="244"/>
      <c r="D485" s="244"/>
      <c r="E485" s="244"/>
      <c r="F485" s="244"/>
      <c r="G485" s="244"/>
      <c r="H485" s="244"/>
      <c r="I485" s="244"/>
      <c r="J485" s="244"/>
      <c r="K485" s="244"/>
      <c r="L485" s="244"/>
      <c r="M485" s="244"/>
      <c r="N485" s="244"/>
      <c r="O485" s="244"/>
    </row>
    <row r="486" spans="2:15" x14ac:dyDescent="0.2">
      <c r="B486" s="244"/>
      <c r="C486" s="244"/>
      <c r="D486" s="244"/>
      <c r="E486" s="244"/>
      <c r="F486" s="244"/>
      <c r="G486" s="244"/>
      <c r="H486" s="244"/>
      <c r="I486" s="244"/>
      <c r="J486" s="244"/>
      <c r="K486" s="244"/>
      <c r="L486" s="244"/>
      <c r="M486" s="244"/>
      <c r="N486" s="244"/>
      <c r="O486" s="244"/>
    </row>
    <row r="487" spans="2:15" x14ac:dyDescent="0.2">
      <c r="B487" s="244"/>
      <c r="C487" s="244"/>
      <c r="D487" s="244"/>
      <c r="E487" s="244"/>
      <c r="F487" s="244"/>
      <c r="G487" s="244"/>
      <c r="H487" s="244"/>
      <c r="I487" s="244"/>
      <c r="J487" s="244"/>
      <c r="K487" s="244"/>
      <c r="L487" s="244"/>
      <c r="M487" s="244"/>
      <c r="N487" s="244"/>
      <c r="O487" s="244"/>
    </row>
    <row r="488" spans="2:15" x14ac:dyDescent="0.2">
      <c r="B488" s="244"/>
      <c r="C488" s="244"/>
      <c r="D488" s="244"/>
      <c r="E488" s="244"/>
      <c r="F488" s="244"/>
      <c r="G488" s="244"/>
      <c r="H488" s="244"/>
      <c r="I488" s="244"/>
      <c r="J488" s="244"/>
      <c r="K488" s="244"/>
      <c r="L488" s="244"/>
      <c r="M488" s="244"/>
      <c r="N488" s="244"/>
      <c r="O488" s="244"/>
    </row>
    <row r="489" spans="2:15" x14ac:dyDescent="0.2">
      <c r="B489" s="244"/>
      <c r="C489" s="244"/>
      <c r="D489" s="244"/>
      <c r="E489" s="244"/>
      <c r="F489" s="244"/>
      <c r="G489" s="244"/>
      <c r="H489" s="244"/>
      <c r="I489" s="244"/>
      <c r="J489" s="244"/>
      <c r="K489" s="244"/>
      <c r="L489" s="244"/>
      <c r="M489" s="244"/>
      <c r="N489" s="244"/>
      <c r="O489" s="244"/>
    </row>
    <row r="490" spans="2:15" x14ac:dyDescent="0.2">
      <c r="B490" s="244"/>
      <c r="C490" s="244"/>
      <c r="D490" s="244"/>
      <c r="E490" s="244"/>
      <c r="F490" s="244"/>
      <c r="G490" s="244"/>
      <c r="H490" s="244"/>
      <c r="I490" s="244"/>
      <c r="J490" s="244"/>
      <c r="K490" s="244"/>
      <c r="L490" s="244"/>
      <c r="M490" s="244"/>
      <c r="N490" s="244"/>
      <c r="O490" s="244"/>
    </row>
    <row r="491" spans="2:15" x14ac:dyDescent="0.2">
      <c r="B491" s="244"/>
      <c r="C491" s="244"/>
      <c r="D491" s="244"/>
      <c r="E491" s="244"/>
      <c r="F491" s="244"/>
      <c r="G491" s="244"/>
      <c r="H491" s="244"/>
      <c r="I491" s="244"/>
      <c r="J491" s="244"/>
      <c r="K491" s="244"/>
      <c r="L491" s="244"/>
      <c r="M491" s="244"/>
      <c r="N491" s="244"/>
      <c r="O491" s="244"/>
    </row>
    <row r="492" spans="2:15" x14ac:dyDescent="0.2">
      <c r="B492" s="244"/>
      <c r="C492" s="244"/>
      <c r="D492" s="244"/>
      <c r="E492" s="244"/>
      <c r="F492" s="244"/>
      <c r="G492" s="244"/>
      <c r="H492" s="244"/>
      <c r="I492" s="244"/>
      <c r="J492" s="244"/>
      <c r="K492" s="244"/>
      <c r="L492" s="244"/>
      <c r="M492" s="244"/>
      <c r="N492" s="244"/>
      <c r="O492" s="244"/>
    </row>
    <row r="493" spans="2:15" x14ac:dyDescent="0.2">
      <c r="B493" s="244"/>
      <c r="C493" s="244"/>
      <c r="D493" s="244"/>
      <c r="E493" s="244"/>
      <c r="F493" s="244"/>
      <c r="G493" s="244"/>
      <c r="H493" s="244"/>
      <c r="I493" s="244"/>
      <c r="J493" s="244"/>
      <c r="K493" s="244"/>
      <c r="L493" s="244"/>
      <c r="M493" s="244"/>
      <c r="N493" s="244"/>
      <c r="O493" s="244"/>
    </row>
    <row r="494" spans="2:15" x14ac:dyDescent="0.2">
      <c r="B494" s="244"/>
      <c r="C494" s="244"/>
      <c r="D494" s="244"/>
      <c r="E494" s="244"/>
      <c r="F494" s="244"/>
      <c r="G494" s="244"/>
      <c r="H494" s="244"/>
      <c r="I494" s="244"/>
      <c r="J494" s="244"/>
      <c r="K494" s="244"/>
      <c r="L494" s="244"/>
      <c r="M494" s="244"/>
      <c r="N494" s="244"/>
      <c r="O494" s="244"/>
    </row>
    <row r="495" spans="2:15" x14ac:dyDescent="0.2">
      <c r="B495" s="244"/>
      <c r="C495" s="244"/>
      <c r="D495" s="244"/>
      <c r="E495" s="244"/>
      <c r="F495" s="244"/>
      <c r="G495" s="244"/>
      <c r="H495" s="244"/>
      <c r="I495" s="244"/>
      <c r="J495" s="244"/>
      <c r="K495" s="244"/>
      <c r="L495" s="244"/>
      <c r="M495" s="244"/>
      <c r="N495" s="244"/>
      <c r="O495" s="244"/>
    </row>
    <row r="496" spans="2:15" x14ac:dyDescent="0.2">
      <c r="B496" s="244"/>
      <c r="C496" s="244"/>
      <c r="D496" s="244"/>
      <c r="E496" s="244"/>
      <c r="F496" s="244"/>
      <c r="G496" s="244"/>
      <c r="H496" s="244"/>
      <c r="I496" s="244"/>
      <c r="J496" s="244"/>
      <c r="K496" s="244"/>
      <c r="L496" s="244"/>
      <c r="M496" s="244"/>
      <c r="N496" s="244"/>
      <c r="O496" s="244"/>
    </row>
    <row r="497" spans="2:15" x14ac:dyDescent="0.2">
      <c r="B497" s="244"/>
      <c r="C497" s="244"/>
      <c r="D497" s="244"/>
      <c r="E497" s="244"/>
      <c r="F497" s="244"/>
      <c r="G497" s="244"/>
      <c r="H497" s="244"/>
      <c r="I497" s="244"/>
      <c r="J497" s="244"/>
      <c r="K497" s="244"/>
      <c r="L497" s="244"/>
      <c r="M497" s="244"/>
      <c r="N497" s="244"/>
      <c r="O497" s="244"/>
    </row>
    <row r="498" spans="2:15" x14ac:dyDescent="0.2">
      <c r="B498" s="244"/>
      <c r="C498" s="244"/>
      <c r="D498" s="244"/>
      <c r="E498" s="244"/>
      <c r="F498" s="244"/>
      <c r="G498" s="244"/>
      <c r="H498" s="244"/>
      <c r="I498" s="244"/>
      <c r="J498" s="244"/>
      <c r="K498" s="244"/>
      <c r="L498" s="244"/>
      <c r="M498" s="244"/>
      <c r="N498" s="244"/>
      <c r="O498" s="244"/>
    </row>
    <row r="499" spans="2:15" x14ac:dyDescent="0.2">
      <c r="B499" s="244"/>
      <c r="C499" s="244"/>
      <c r="D499" s="244"/>
      <c r="E499" s="244"/>
      <c r="F499" s="244"/>
      <c r="G499" s="244"/>
      <c r="H499" s="244"/>
      <c r="I499" s="244"/>
      <c r="J499" s="244"/>
      <c r="K499" s="244"/>
      <c r="L499" s="244"/>
      <c r="M499" s="244"/>
      <c r="N499" s="244"/>
      <c r="O499" s="244"/>
    </row>
    <row r="500" spans="2:15" x14ac:dyDescent="0.2">
      <c r="B500" s="244"/>
      <c r="C500" s="244"/>
      <c r="D500" s="244"/>
      <c r="E500" s="244"/>
      <c r="F500" s="244"/>
      <c r="G500" s="244"/>
      <c r="H500" s="244"/>
      <c r="I500" s="244"/>
      <c r="J500" s="244"/>
      <c r="K500" s="244"/>
      <c r="L500" s="244"/>
      <c r="M500" s="244"/>
      <c r="N500" s="244"/>
      <c r="O500" s="244"/>
    </row>
    <row r="501" spans="2:15" x14ac:dyDescent="0.2">
      <c r="B501" s="244"/>
      <c r="C501" s="244"/>
      <c r="D501" s="244"/>
      <c r="E501" s="244"/>
      <c r="F501" s="244"/>
      <c r="G501" s="244"/>
      <c r="H501" s="244"/>
      <c r="I501" s="244"/>
      <c r="J501" s="244"/>
      <c r="K501" s="244"/>
      <c r="L501" s="244"/>
      <c r="M501" s="244"/>
      <c r="N501" s="244"/>
      <c r="O501" s="244"/>
    </row>
    <row r="502" spans="2:15" x14ac:dyDescent="0.2">
      <c r="B502" s="244"/>
      <c r="C502" s="244"/>
      <c r="D502" s="244"/>
      <c r="E502" s="244"/>
      <c r="F502" s="244"/>
      <c r="G502" s="244"/>
      <c r="H502" s="244"/>
      <c r="I502" s="244"/>
      <c r="J502" s="244"/>
      <c r="K502" s="244"/>
      <c r="L502" s="244"/>
      <c r="M502" s="244"/>
      <c r="N502" s="244"/>
      <c r="O502" s="244"/>
    </row>
    <row r="503" spans="2:15" x14ac:dyDescent="0.2">
      <c r="B503" s="244"/>
      <c r="C503" s="244"/>
      <c r="D503" s="244"/>
      <c r="E503" s="244"/>
      <c r="F503" s="244"/>
      <c r="G503" s="244"/>
      <c r="H503" s="244"/>
      <c r="I503" s="244"/>
      <c r="J503" s="244"/>
      <c r="K503" s="244"/>
      <c r="L503" s="244"/>
      <c r="M503" s="244"/>
      <c r="N503" s="244"/>
      <c r="O503" s="244"/>
    </row>
    <row r="504" spans="2:15" x14ac:dyDescent="0.2">
      <c r="B504" s="244"/>
      <c r="C504" s="244"/>
      <c r="D504" s="244"/>
      <c r="E504" s="244"/>
      <c r="F504" s="244"/>
      <c r="G504" s="244"/>
      <c r="H504" s="244"/>
      <c r="I504" s="244"/>
      <c r="J504" s="244"/>
      <c r="K504" s="244"/>
      <c r="L504" s="244"/>
      <c r="M504" s="244"/>
      <c r="N504" s="244"/>
      <c r="O504" s="244"/>
    </row>
    <row r="505" spans="2:15" x14ac:dyDescent="0.2">
      <c r="B505" s="244"/>
      <c r="C505" s="244"/>
      <c r="D505" s="244"/>
      <c r="E505" s="244"/>
      <c r="F505" s="244"/>
      <c r="G505" s="244"/>
      <c r="H505" s="244"/>
      <c r="I505" s="244"/>
      <c r="J505" s="244"/>
      <c r="K505" s="244"/>
      <c r="L505" s="244"/>
      <c r="M505" s="244"/>
      <c r="N505" s="244"/>
      <c r="O505" s="244"/>
    </row>
    <row r="506" spans="2:15" x14ac:dyDescent="0.2">
      <c r="B506" s="244"/>
      <c r="C506" s="244"/>
      <c r="D506" s="244"/>
      <c r="E506" s="244"/>
      <c r="F506" s="244"/>
      <c r="G506" s="244"/>
      <c r="H506" s="244"/>
      <c r="I506" s="244"/>
      <c r="J506" s="244"/>
      <c r="K506" s="244"/>
      <c r="L506" s="244"/>
      <c r="M506" s="244"/>
      <c r="N506" s="244"/>
      <c r="O506" s="244"/>
    </row>
    <row r="507" spans="2:15" x14ac:dyDescent="0.2">
      <c r="B507" s="244"/>
      <c r="C507" s="244"/>
      <c r="D507" s="244"/>
      <c r="E507" s="244"/>
      <c r="F507" s="244"/>
      <c r="G507" s="244"/>
      <c r="H507" s="244"/>
      <c r="I507" s="244"/>
      <c r="J507" s="244"/>
      <c r="K507" s="244"/>
      <c r="L507" s="244"/>
      <c r="M507" s="244"/>
      <c r="N507" s="244"/>
      <c r="O507" s="244"/>
    </row>
    <row r="508" spans="2:15" x14ac:dyDescent="0.2">
      <c r="B508" s="244"/>
      <c r="C508" s="244"/>
      <c r="D508" s="244"/>
      <c r="E508" s="244"/>
      <c r="F508" s="244"/>
      <c r="G508" s="244"/>
      <c r="H508" s="244"/>
      <c r="I508" s="244"/>
      <c r="J508" s="244"/>
      <c r="K508" s="244"/>
      <c r="L508" s="244"/>
      <c r="M508" s="244"/>
      <c r="N508" s="244"/>
      <c r="O508" s="244"/>
    </row>
    <row r="509" spans="2:15" x14ac:dyDescent="0.2">
      <c r="B509" s="244"/>
      <c r="C509" s="244"/>
      <c r="D509" s="244"/>
      <c r="E509" s="244"/>
      <c r="F509" s="244"/>
      <c r="G509" s="244"/>
      <c r="H509" s="244"/>
      <c r="I509" s="244"/>
      <c r="J509" s="244"/>
      <c r="K509" s="244"/>
      <c r="L509" s="244"/>
      <c r="M509" s="244"/>
      <c r="N509" s="244"/>
      <c r="O509" s="244"/>
    </row>
    <row r="510" spans="2:15" x14ac:dyDescent="0.2">
      <c r="B510" s="244"/>
      <c r="C510" s="244"/>
      <c r="D510" s="244"/>
      <c r="E510" s="244"/>
      <c r="F510" s="244"/>
      <c r="G510" s="244"/>
      <c r="H510" s="244"/>
      <c r="I510" s="244"/>
      <c r="J510" s="244"/>
      <c r="K510" s="244"/>
      <c r="L510" s="244"/>
      <c r="M510" s="244"/>
      <c r="N510" s="244"/>
      <c r="O510" s="244"/>
    </row>
    <row r="511" spans="2:15" x14ac:dyDescent="0.2">
      <c r="B511" s="244"/>
      <c r="C511" s="244"/>
      <c r="D511" s="244"/>
      <c r="E511" s="244"/>
      <c r="F511" s="244"/>
      <c r="G511" s="244"/>
      <c r="H511" s="244"/>
      <c r="I511" s="244"/>
      <c r="J511" s="244"/>
      <c r="K511" s="244"/>
      <c r="L511" s="244"/>
      <c r="M511" s="244"/>
      <c r="N511" s="244"/>
      <c r="O511" s="244"/>
    </row>
    <row r="512" spans="2:15" x14ac:dyDescent="0.2">
      <c r="B512" s="244"/>
      <c r="C512" s="244"/>
      <c r="D512" s="244"/>
      <c r="E512" s="244"/>
      <c r="F512" s="244"/>
      <c r="G512" s="244"/>
      <c r="H512" s="244"/>
      <c r="I512" s="244"/>
      <c r="J512" s="244"/>
      <c r="K512" s="244"/>
      <c r="L512" s="244"/>
      <c r="M512" s="244"/>
      <c r="N512" s="244"/>
      <c r="O512" s="244"/>
    </row>
    <row r="513" spans="2:15" x14ac:dyDescent="0.2">
      <c r="B513" s="244"/>
      <c r="C513" s="244"/>
      <c r="D513" s="244"/>
      <c r="E513" s="244"/>
      <c r="F513" s="244"/>
      <c r="G513" s="244"/>
      <c r="H513" s="244"/>
      <c r="I513" s="244"/>
      <c r="J513" s="244"/>
      <c r="K513" s="244"/>
      <c r="L513" s="244"/>
      <c r="M513" s="244"/>
      <c r="N513" s="244"/>
      <c r="O513" s="244"/>
    </row>
    <row r="514" spans="2:15" x14ac:dyDescent="0.2">
      <c r="B514" s="244"/>
      <c r="C514" s="244"/>
      <c r="D514" s="244"/>
      <c r="E514" s="244"/>
      <c r="F514" s="244"/>
      <c r="G514" s="244"/>
      <c r="H514" s="244"/>
      <c r="I514" s="244"/>
      <c r="J514" s="244"/>
      <c r="K514" s="244"/>
      <c r="L514" s="244"/>
      <c r="M514" s="244"/>
      <c r="N514" s="244"/>
      <c r="O514" s="244"/>
    </row>
    <row r="515" spans="2:15" x14ac:dyDescent="0.2">
      <c r="B515" s="244"/>
      <c r="C515" s="244"/>
      <c r="D515" s="244"/>
      <c r="E515" s="244"/>
      <c r="F515" s="244"/>
      <c r="G515" s="244"/>
      <c r="H515" s="244"/>
      <c r="I515" s="244"/>
      <c r="J515" s="244"/>
      <c r="K515" s="244"/>
      <c r="L515" s="244"/>
      <c r="M515" s="244"/>
      <c r="N515" s="244"/>
      <c r="O515" s="244"/>
    </row>
    <row r="516" spans="2:15" x14ac:dyDescent="0.2">
      <c r="B516" s="244"/>
      <c r="C516" s="244"/>
      <c r="D516" s="244"/>
      <c r="E516" s="244"/>
      <c r="F516" s="244"/>
      <c r="G516" s="244"/>
      <c r="H516" s="244"/>
      <c r="I516" s="244"/>
      <c r="J516" s="244"/>
      <c r="K516" s="244"/>
      <c r="L516" s="244"/>
      <c r="M516" s="244"/>
      <c r="N516" s="244"/>
      <c r="O516" s="244"/>
    </row>
    <row r="517" spans="2:15" x14ac:dyDescent="0.2">
      <c r="B517" s="244"/>
      <c r="C517" s="244"/>
      <c r="D517" s="244"/>
      <c r="E517" s="244"/>
      <c r="F517" s="244"/>
      <c r="G517" s="244"/>
      <c r="H517" s="244"/>
      <c r="I517" s="244"/>
      <c r="J517" s="244"/>
      <c r="K517" s="244"/>
      <c r="L517" s="244"/>
      <c r="M517" s="244"/>
      <c r="N517" s="244"/>
      <c r="O517" s="244"/>
    </row>
    <row r="518" spans="2:15" x14ac:dyDescent="0.2">
      <c r="B518" s="244"/>
      <c r="C518" s="244"/>
      <c r="D518" s="244"/>
      <c r="E518" s="244"/>
      <c r="F518" s="244"/>
      <c r="G518" s="244"/>
      <c r="H518" s="244"/>
      <c r="I518" s="244"/>
      <c r="J518" s="244"/>
      <c r="K518" s="244"/>
      <c r="L518" s="244"/>
      <c r="M518" s="244"/>
      <c r="N518" s="244"/>
      <c r="O518" s="244"/>
    </row>
  </sheetData>
  <mergeCells count="18">
    <mergeCell ref="C15:D15"/>
    <mergeCell ref="F15:N15"/>
    <mergeCell ref="B17:D17"/>
    <mergeCell ref="B398:D398"/>
    <mergeCell ref="B438:N439"/>
    <mergeCell ref="A8:N8"/>
    <mergeCell ref="A9:N9"/>
    <mergeCell ref="A10:N10"/>
    <mergeCell ref="A13:A14"/>
    <mergeCell ref="B13:B14"/>
    <mergeCell ref="C13:D13"/>
    <mergeCell ref="F13:N13"/>
    <mergeCell ref="I6:N6"/>
    <mergeCell ref="I1:N1"/>
    <mergeCell ref="I2:N2"/>
    <mergeCell ref="I3:N3"/>
    <mergeCell ref="I4:N4"/>
    <mergeCell ref="I5:N5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1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502"/>
  <sheetViews>
    <sheetView topLeftCell="A74" zoomScale="60" zoomScaleNormal="60" zoomScaleSheetLayoutView="70" workbookViewId="0">
      <selection activeCell="F83" sqref="F83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6" width="16.28515625" customWidth="1"/>
    <col min="7" max="7" width="15.7109375" customWidth="1"/>
    <col min="8" max="8" width="18.28515625" customWidth="1"/>
    <col min="9" max="9" width="18" customWidth="1"/>
    <col min="10" max="10" width="16.7109375" customWidth="1"/>
    <col min="11" max="12" width="18" customWidth="1"/>
    <col min="13" max="13" width="19" customWidth="1"/>
    <col min="14" max="14" width="22.28515625" customWidth="1"/>
    <col min="15" max="15" width="16.42578125" customWidth="1"/>
    <col min="16" max="16" width="12.7109375" customWidth="1"/>
    <col min="17" max="17" width="18.85546875" customWidth="1"/>
    <col min="18" max="18" width="17.4257812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264"/>
      <c r="P1" s="264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264"/>
      <c r="P2" s="264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264"/>
      <c r="P3" s="264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264"/>
      <c r="P4" s="264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498</v>
      </c>
      <c r="J5" s="440"/>
      <c r="K5" s="440"/>
      <c r="L5" s="440"/>
      <c r="M5" s="440"/>
      <c r="N5" s="440"/>
      <c r="O5" s="264"/>
      <c r="P5" s="264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264"/>
      <c r="P6" s="264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265"/>
      <c r="P8" s="265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265"/>
      <c r="P9" s="265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266"/>
      <c r="P10" s="266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267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66" t="s">
        <v>15</v>
      </c>
      <c r="J14" s="167" t="s">
        <v>13</v>
      </c>
      <c r="K14" s="167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268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173" t="s">
        <v>20</v>
      </c>
      <c r="C16" s="173"/>
      <c r="D16" s="174"/>
      <c r="E16" s="175"/>
      <c r="F16" s="176">
        <f t="shared" ref="F16:N16" si="0">F17+F388</f>
        <v>730412.80000000028</v>
      </c>
      <c r="G16" s="176">
        <f>G17+G388-0.1</f>
        <v>23079.400000000005</v>
      </c>
      <c r="H16" s="176">
        <f t="shared" si="0"/>
        <v>753492.30000000016</v>
      </c>
      <c r="I16" s="177">
        <f t="shared" si="0"/>
        <v>2674596.6000000006</v>
      </c>
      <c r="J16" s="274">
        <f t="shared" si="0"/>
        <v>-729105.2</v>
      </c>
      <c r="K16" s="177">
        <f t="shared" si="0"/>
        <v>1945491.4000000001</v>
      </c>
      <c r="L16" s="177">
        <f>L17+L388</f>
        <v>3405009.4</v>
      </c>
      <c r="M16" s="176">
        <f t="shared" si="0"/>
        <v>-706025.70000000007</v>
      </c>
      <c r="N16" s="177">
        <f t="shared" si="0"/>
        <v>2698983.6999999997</v>
      </c>
      <c r="O16" s="178">
        <f>L16+M16</f>
        <v>2698983.6999999997</v>
      </c>
      <c r="P16" s="92">
        <f>O16-N16</f>
        <v>0</v>
      </c>
    </row>
    <row r="17" spans="1:17" ht="32.450000000000003" customHeight="1" x14ac:dyDescent="0.2">
      <c r="A17" s="16" t="s">
        <v>21</v>
      </c>
      <c r="B17" s="445" t="s">
        <v>22</v>
      </c>
      <c r="C17" s="446"/>
      <c r="D17" s="446"/>
      <c r="E17" s="269"/>
      <c r="F17" s="180">
        <f t="shared" ref="F17:N17" si="1">F18+F34+F39+F79+F91+F135+F209+F244+F253+F301+F324+F342+F377+F381</f>
        <v>684256.00000000023</v>
      </c>
      <c r="G17" s="180">
        <f t="shared" si="1"/>
        <v>22600.900000000005</v>
      </c>
      <c r="H17" s="180">
        <f t="shared" si="1"/>
        <v>706856.90000000014</v>
      </c>
      <c r="I17" s="181">
        <f t="shared" si="1"/>
        <v>2673828.5000000005</v>
      </c>
      <c r="J17" s="180">
        <f>J18+J34+J39+J79+J91+J135+J209+J244+J253+J301+J324+J342+J377+J381</f>
        <v>-729105.2</v>
      </c>
      <c r="K17" s="181">
        <f t="shared" si="1"/>
        <v>1944723.3</v>
      </c>
      <c r="L17" s="180">
        <f t="shared" si="1"/>
        <v>3358084.5</v>
      </c>
      <c r="M17" s="180">
        <f t="shared" si="1"/>
        <v>-706504.3</v>
      </c>
      <c r="N17" s="180">
        <f t="shared" si="1"/>
        <v>2651580.1999999997</v>
      </c>
      <c r="O17" s="178">
        <f t="shared" ref="O17:O80" si="2">L17+M17</f>
        <v>2651580.2000000002</v>
      </c>
      <c r="P17" s="92">
        <f t="shared" ref="P17:P80" si="3">O17-N17</f>
        <v>0</v>
      </c>
    </row>
    <row r="18" spans="1:17" ht="22.15" customHeight="1" x14ac:dyDescent="0.2">
      <c r="A18" s="19" t="s">
        <v>23</v>
      </c>
      <c r="B18" s="182" t="s">
        <v>24</v>
      </c>
      <c r="C18" s="183" t="s">
        <v>25</v>
      </c>
      <c r="D18" s="184" t="s">
        <v>26</v>
      </c>
      <c r="E18" s="185"/>
      <c r="F18" s="186">
        <f t="shared" ref="F18:N18" si="4">F19+F25</f>
        <v>15336.800000000003</v>
      </c>
      <c r="G18" s="186">
        <f t="shared" si="4"/>
        <v>0</v>
      </c>
      <c r="H18" s="186">
        <f t="shared" si="4"/>
        <v>15336.8</v>
      </c>
      <c r="I18" s="187">
        <f t="shared" si="4"/>
        <v>556</v>
      </c>
      <c r="J18" s="186">
        <f>J19+J25</f>
        <v>0</v>
      </c>
      <c r="K18" s="187">
        <f t="shared" si="4"/>
        <v>556</v>
      </c>
      <c r="L18" s="186">
        <f t="shared" si="4"/>
        <v>15892.800000000003</v>
      </c>
      <c r="M18" s="186">
        <f t="shared" si="4"/>
        <v>0</v>
      </c>
      <c r="N18" s="186">
        <f t="shared" si="4"/>
        <v>15892.8</v>
      </c>
      <c r="O18" s="178">
        <f t="shared" si="2"/>
        <v>15892.800000000003</v>
      </c>
      <c r="P18" s="92">
        <f t="shared" si="3"/>
        <v>0</v>
      </c>
      <c r="Q18" s="25"/>
    </row>
    <row r="19" spans="1:17" ht="47.25" x14ac:dyDescent="0.2">
      <c r="A19" s="42"/>
      <c r="B19" s="168" t="s">
        <v>27</v>
      </c>
      <c r="C19" s="169" t="s">
        <v>28</v>
      </c>
      <c r="D19" s="170" t="s">
        <v>26</v>
      </c>
      <c r="E19" s="171"/>
      <c r="F19" s="172">
        <f>F20+F23</f>
        <v>2647.8</v>
      </c>
      <c r="G19" s="172">
        <f>G20+G23</f>
        <v>-128.1</v>
      </c>
      <c r="H19" s="172">
        <f>H20+H23</f>
        <v>2519.6999999999998</v>
      </c>
      <c r="I19" s="188">
        <f>I20+I23</f>
        <v>400</v>
      </c>
      <c r="J19" s="189"/>
      <c r="K19" s="188">
        <f>K20+K23</f>
        <v>400</v>
      </c>
      <c r="L19" s="172">
        <f>L20+L23</f>
        <v>3047.8</v>
      </c>
      <c r="M19" s="172">
        <f>M20+M23</f>
        <v>-128.1</v>
      </c>
      <c r="N19" s="172">
        <f>N20+N23</f>
        <v>2919.7</v>
      </c>
      <c r="O19" s="178">
        <f t="shared" si="2"/>
        <v>2919.7000000000003</v>
      </c>
      <c r="P19" s="92">
        <f t="shared" si="3"/>
        <v>0</v>
      </c>
      <c r="Q19" s="48"/>
    </row>
    <row r="20" spans="1:17" ht="47.25" x14ac:dyDescent="0.2">
      <c r="A20" s="42"/>
      <c r="B20" s="168" t="s">
        <v>29</v>
      </c>
      <c r="C20" s="169" t="s">
        <v>30</v>
      </c>
      <c r="D20" s="170" t="s">
        <v>26</v>
      </c>
      <c r="E20" s="171"/>
      <c r="F20" s="172">
        <f>SUM(F21+F22)</f>
        <v>1872.3</v>
      </c>
      <c r="G20" s="172">
        <f>SUM(G21)</f>
        <v>16.8</v>
      </c>
      <c r="H20" s="172">
        <f>SUM(F20)+G20</f>
        <v>1889.1</v>
      </c>
      <c r="I20" s="188">
        <f t="shared" ref="I20:N20" si="5">I21+I22</f>
        <v>400</v>
      </c>
      <c r="J20" s="189">
        <f t="shared" si="5"/>
        <v>0</v>
      </c>
      <c r="K20" s="188">
        <f t="shared" si="5"/>
        <v>400</v>
      </c>
      <c r="L20" s="172">
        <f t="shared" si="5"/>
        <v>2272.3000000000002</v>
      </c>
      <c r="M20" s="172">
        <f t="shared" si="5"/>
        <v>16.8</v>
      </c>
      <c r="N20" s="172">
        <f t="shared" si="5"/>
        <v>2289.1</v>
      </c>
      <c r="O20" s="178">
        <f t="shared" si="2"/>
        <v>2289.1000000000004</v>
      </c>
      <c r="P20" s="92">
        <f t="shared" si="3"/>
        <v>0</v>
      </c>
    </row>
    <row r="21" spans="1:17" ht="67.900000000000006" customHeight="1" x14ac:dyDescent="0.2">
      <c r="A21" s="42"/>
      <c r="B21" s="168" t="s">
        <v>31</v>
      </c>
      <c r="C21" s="169" t="s">
        <v>30</v>
      </c>
      <c r="D21" s="170" t="s">
        <v>32</v>
      </c>
      <c r="E21" s="171"/>
      <c r="F21" s="172">
        <v>1801.3</v>
      </c>
      <c r="G21" s="172">
        <v>16.8</v>
      </c>
      <c r="H21" s="172">
        <f>1801.3+G21</f>
        <v>1818.1</v>
      </c>
      <c r="I21" s="188">
        <v>288.2</v>
      </c>
      <c r="J21" s="189"/>
      <c r="K21" s="188">
        <f>SUM(I21:J21)</f>
        <v>288.2</v>
      </c>
      <c r="L21" s="172">
        <f t="shared" ref="L21:N22" si="6">F21+I21</f>
        <v>2089.5</v>
      </c>
      <c r="M21" s="172">
        <f t="shared" si="6"/>
        <v>16.8</v>
      </c>
      <c r="N21" s="172">
        <f t="shared" si="6"/>
        <v>2106.2999999999997</v>
      </c>
      <c r="O21" s="178">
        <f t="shared" si="2"/>
        <v>2106.3000000000002</v>
      </c>
      <c r="P21" s="92">
        <f t="shared" si="3"/>
        <v>0</v>
      </c>
    </row>
    <row r="22" spans="1:17" ht="37.15" customHeight="1" x14ac:dyDescent="0.2">
      <c r="A22" s="42"/>
      <c r="B22" s="168" t="s">
        <v>35</v>
      </c>
      <c r="C22" s="169" t="s">
        <v>30</v>
      </c>
      <c r="D22" s="170" t="s">
        <v>36</v>
      </c>
      <c r="E22" s="171"/>
      <c r="F22" s="172">
        <v>71</v>
      </c>
      <c r="G22" s="172"/>
      <c r="H22" s="172">
        <v>71</v>
      </c>
      <c r="I22" s="188">
        <v>111.8</v>
      </c>
      <c r="J22" s="189"/>
      <c r="K22" s="188">
        <f>SUM(I22:J22)</f>
        <v>111.8</v>
      </c>
      <c r="L22" s="172">
        <f t="shared" si="6"/>
        <v>182.8</v>
      </c>
      <c r="M22" s="172">
        <f t="shared" si="6"/>
        <v>0</v>
      </c>
      <c r="N22" s="172">
        <f t="shared" si="6"/>
        <v>182.8</v>
      </c>
      <c r="O22" s="178">
        <f t="shared" si="2"/>
        <v>182.8</v>
      </c>
      <c r="P22" s="92">
        <f t="shared" si="3"/>
        <v>0</v>
      </c>
    </row>
    <row r="23" spans="1:17" ht="36" customHeight="1" x14ac:dyDescent="0.2">
      <c r="A23" s="42"/>
      <c r="B23" s="168" t="s">
        <v>33</v>
      </c>
      <c r="C23" s="169" t="s">
        <v>34</v>
      </c>
      <c r="D23" s="170" t="s">
        <v>26</v>
      </c>
      <c r="E23" s="171"/>
      <c r="F23" s="172">
        <f>F24</f>
        <v>775.5</v>
      </c>
      <c r="G23" s="172">
        <f>G24</f>
        <v>-144.9</v>
      </c>
      <c r="H23" s="172">
        <f>H24</f>
        <v>630.6</v>
      </c>
      <c r="I23" s="188">
        <f>I24</f>
        <v>0</v>
      </c>
      <c r="J23" s="189"/>
      <c r="K23" s="188">
        <f>K24</f>
        <v>0</v>
      </c>
      <c r="L23" s="172">
        <f>L24</f>
        <v>775.5</v>
      </c>
      <c r="M23" s="172">
        <f>M24</f>
        <v>-144.9</v>
      </c>
      <c r="N23" s="172">
        <f>N24</f>
        <v>630.6</v>
      </c>
      <c r="O23" s="178">
        <f t="shared" si="2"/>
        <v>630.6</v>
      </c>
      <c r="P23" s="92">
        <f t="shared" si="3"/>
        <v>0</v>
      </c>
    </row>
    <row r="24" spans="1:17" ht="31.5" x14ac:dyDescent="0.2">
      <c r="A24" s="42"/>
      <c r="B24" s="168" t="s">
        <v>35</v>
      </c>
      <c r="C24" s="169" t="s">
        <v>34</v>
      </c>
      <c r="D24" s="170" t="s">
        <v>36</v>
      </c>
      <c r="E24" s="171"/>
      <c r="F24" s="172">
        <v>775.5</v>
      </c>
      <c r="G24" s="172">
        <f>-16.8-128.1</f>
        <v>-144.9</v>
      </c>
      <c r="H24" s="172">
        <f>SUM(F24)+G24</f>
        <v>630.6</v>
      </c>
      <c r="I24" s="188">
        <v>0</v>
      </c>
      <c r="J24" s="189"/>
      <c r="K24" s="188">
        <v>0</v>
      </c>
      <c r="L24" s="172">
        <f>SUM(F24)</f>
        <v>775.5</v>
      </c>
      <c r="M24" s="172">
        <f>SUM(G24)</f>
        <v>-144.9</v>
      </c>
      <c r="N24" s="172">
        <f>SUM(L24)+M24</f>
        <v>630.6</v>
      </c>
      <c r="O24" s="178">
        <f t="shared" si="2"/>
        <v>630.6</v>
      </c>
      <c r="P24" s="92">
        <f t="shared" si="3"/>
        <v>0</v>
      </c>
    </row>
    <row r="25" spans="1:17" ht="47.25" x14ac:dyDescent="0.2">
      <c r="A25" s="42"/>
      <c r="B25" s="168" t="s">
        <v>37</v>
      </c>
      <c r="C25" s="169" t="s">
        <v>38</v>
      </c>
      <c r="D25" s="170" t="s">
        <v>26</v>
      </c>
      <c r="E25" s="171"/>
      <c r="F25" s="172">
        <f>F26+F30</f>
        <v>12689.000000000002</v>
      </c>
      <c r="G25" s="172">
        <f>G26+G30</f>
        <v>128.1</v>
      </c>
      <c r="H25" s="172">
        <f>H26+H30</f>
        <v>12817.1</v>
      </c>
      <c r="I25" s="188">
        <f>I26+I30+I32</f>
        <v>156</v>
      </c>
      <c r="J25" s="189">
        <f>SUM(J32)</f>
        <v>0</v>
      </c>
      <c r="K25" s="188">
        <f>K26+K30+K32</f>
        <v>156</v>
      </c>
      <c r="L25" s="172">
        <f>L26+L30+L33</f>
        <v>12845.000000000002</v>
      </c>
      <c r="M25" s="172">
        <f>M26+M30+J25</f>
        <v>128.1</v>
      </c>
      <c r="N25" s="172">
        <f>N26+N30+N33</f>
        <v>12973.1</v>
      </c>
      <c r="O25" s="178">
        <f t="shared" si="2"/>
        <v>12973.100000000002</v>
      </c>
      <c r="P25" s="92">
        <f t="shared" si="3"/>
        <v>0</v>
      </c>
    </row>
    <row r="26" spans="1:17" ht="31.5" x14ac:dyDescent="0.2">
      <c r="A26" s="42"/>
      <c r="B26" s="168" t="s">
        <v>39</v>
      </c>
      <c r="C26" s="169" t="s">
        <v>40</v>
      </c>
      <c r="D26" s="170" t="s">
        <v>26</v>
      </c>
      <c r="E26" s="171"/>
      <c r="F26" s="172">
        <f>F27+F28+F29</f>
        <v>11883.900000000001</v>
      </c>
      <c r="G26" s="172">
        <f>G27+G28+G29</f>
        <v>128.1</v>
      </c>
      <c r="H26" s="172">
        <f>H27+H28+H29</f>
        <v>12012</v>
      </c>
      <c r="I26" s="188">
        <f>I27+I28+I29</f>
        <v>0</v>
      </c>
      <c r="J26" s="189">
        <f>SUM(I27)+J28</f>
        <v>0</v>
      </c>
      <c r="K26" s="188">
        <f>K27+K28+K29</f>
        <v>0</v>
      </c>
      <c r="L26" s="172">
        <f>L27+L28+L29</f>
        <v>11883.900000000001</v>
      </c>
      <c r="M26" s="172">
        <f>M27+M28+M29</f>
        <v>128.1</v>
      </c>
      <c r="N26" s="172">
        <f>N27+N28+N29</f>
        <v>12012</v>
      </c>
      <c r="O26" s="178">
        <f t="shared" si="2"/>
        <v>12012.000000000002</v>
      </c>
      <c r="P26" s="92">
        <f t="shared" si="3"/>
        <v>0</v>
      </c>
    </row>
    <row r="27" spans="1:17" ht="67.900000000000006" customHeight="1" x14ac:dyDescent="0.2">
      <c r="A27" s="42"/>
      <c r="B27" s="168" t="s">
        <v>31</v>
      </c>
      <c r="C27" s="169" t="s">
        <v>40</v>
      </c>
      <c r="D27" s="170" t="s">
        <v>32</v>
      </c>
      <c r="E27" s="171"/>
      <c r="F27" s="172">
        <v>8949.5</v>
      </c>
      <c r="G27" s="172"/>
      <c r="H27" s="172">
        <f>SUM(F27)+G27</f>
        <v>8949.5</v>
      </c>
      <c r="I27" s="188">
        <v>0</v>
      </c>
      <c r="J27" s="189"/>
      <c r="K27" s="188">
        <v>0</v>
      </c>
      <c r="L27" s="172">
        <f>SUM(F27)</f>
        <v>8949.5</v>
      </c>
      <c r="M27" s="172">
        <f>SUM(G27)</f>
        <v>0</v>
      </c>
      <c r="N27" s="172">
        <f>SUM(H27)</f>
        <v>8949.5</v>
      </c>
      <c r="O27" s="178">
        <f t="shared" si="2"/>
        <v>8949.5</v>
      </c>
      <c r="P27" s="92">
        <f t="shared" si="3"/>
        <v>0</v>
      </c>
    </row>
    <row r="28" spans="1:17" ht="31.5" x14ac:dyDescent="0.2">
      <c r="A28" s="42"/>
      <c r="B28" s="168" t="s">
        <v>35</v>
      </c>
      <c r="C28" s="169" t="s">
        <v>40</v>
      </c>
      <c r="D28" s="170" t="s">
        <v>36</v>
      </c>
      <c r="E28" s="171"/>
      <c r="F28" s="172">
        <v>2930.7</v>
      </c>
      <c r="G28" s="172">
        <v>128.1</v>
      </c>
      <c r="H28" s="172">
        <f>SUM(F28)+G28</f>
        <v>3058.7999999999997</v>
      </c>
      <c r="I28" s="188">
        <v>0</v>
      </c>
      <c r="J28" s="189"/>
      <c r="K28" s="188">
        <f>SUM(J28)</f>
        <v>0</v>
      </c>
      <c r="L28" s="172">
        <f>SUM(F28)</f>
        <v>2930.7</v>
      </c>
      <c r="M28" s="172">
        <f>SUM(G28+J28)</f>
        <v>128.1</v>
      </c>
      <c r="N28" s="172">
        <f>SUM(H28)</f>
        <v>3058.7999999999997</v>
      </c>
      <c r="O28" s="178">
        <f t="shared" si="2"/>
        <v>3058.7999999999997</v>
      </c>
      <c r="P28" s="92">
        <f t="shared" si="3"/>
        <v>0</v>
      </c>
    </row>
    <row r="29" spans="1:17" ht="18.75" x14ac:dyDescent="0.2">
      <c r="A29" s="42"/>
      <c r="B29" s="168" t="s">
        <v>41</v>
      </c>
      <c r="C29" s="169" t="s">
        <v>40</v>
      </c>
      <c r="D29" s="170" t="s">
        <v>42</v>
      </c>
      <c r="E29" s="171"/>
      <c r="F29" s="172">
        <v>3.7</v>
      </c>
      <c r="G29" s="172"/>
      <c r="H29" s="172">
        <v>3.7</v>
      </c>
      <c r="I29" s="188">
        <v>0</v>
      </c>
      <c r="J29" s="189"/>
      <c r="K29" s="188">
        <v>0</v>
      </c>
      <c r="L29" s="172">
        <v>3.7</v>
      </c>
      <c r="M29" s="172"/>
      <c r="N29" s="172">
        <v>3.7</v>
      </c>
      <c r="O29" s="178">
        <f t="shared" si="2"/>
        <v>3.7</v>
      </c>
      <c r="P29" s="92">
        <f t="shared" si="3"/>
        <v>0</v>
      </c>
    </row>
    <row r="30" spans="1:17" ht="31.5" x14ac:dyDescent="0.2">
      <c r="A30" s="42"/>
      <c r="B30" s="168" t="s">
        <v>43</v>
      </c>
      <c r="C30" s="169" t="s">
        <v>44</v>
      </c>
      <c r="D30" s="170" t="s">
        <v>26</v>
      </c>
      <c r="E30" s="171"/>
      <c r="F30" s="172">
        <f>F31</f>
        <v>805.1</v>
      </c>
      <c r="G30" s="172">
        <f>G31</f>
        <v>0</v>
      </c>
      <c r="H30" s="172">
        <f>H31</f>
        <v>805.1</v>
      </c>
      <c r="I30" s="188">
        <f>I31</f>
        <v>0</v>
      </c>
      <c r="J30" s="189"/>
      <c r="K30" s="188">
        <f>K31</f>
        <v>0</v>
      </c>
      <c r="L30" s="172">
        <f>L31</f>
        <v>805.1</v>
      </c>
      <c r="M30" s="172">
        <f>M31</f>
        <v>0</v>
      </c>
      <c r="N30" s="172">
        <f>N31</f>
        <v>805.1</v>
      </c>
      <c r="O30" s="178">
        <f t="shared" si="2"/>
        <v>805.1</v>
      </c>
      <c r="P30" s="92">
        <f t="shared" si="3"/>
        <v>0</v>
      </c>
    </row>
    <row r="31" spans="1:17" ht="31.5" x14ac:dyDescent="0.2">
      <c r="A31" s="42"/>
      <c r="B31" s="168" t="s">
        <v>35</v>
      </c>
      <c r="C31" s="169" t="s">
        <v>44</v>
      </c>
      <c r="D31" s="170" t="s">
        <v>36</v>
      </c>
      <c r="E31" s="171"/>
      <c r="F31" s="172">
        <v>805.1</v>
      </c>
      <c r="G31" s="172"/>
      <c r="H31" s="172">
        <f>SUM(F31)+G31</f>
        <v>805.1</v>
      </c>
      <c r="I31" s="188">
        <v>0</v>
      </c>
      <c r="J31" s="189"/>
      <c r="K31" s="188">
        <v>0</v>
      </c>
      <c r="L31" s="172">
        <f>SUM(F31)</f>
        <v>805.1</v>
      </c>
      <c r="M31" s="172">
        <f>SUM(G31)</f>
        <v>0</v>
      </c>
      <c r="N31" s="172">
        <f>SUM(H31)</f>
        <v>805.1</v>
      </c>
      <c r="O31" s="178">
        <f t="shared" si="2"/>
        <v>805.1</v>
      </c>
      <c r="P31" s="92">
        <f t="shared" si="3"/>
        <v>0</v>
      </c>
    </row>
    <row r="32" spans="1:17" ht="63" x14ac:dyDescent="0.2">
      <c r="A32" s="42"/>
      <c r="B32" s="158" t="s">
        <v>45</v>
      </c>
      <c r="C32" s="169" t="s">
        <v>46</v>
      </c>
      <c r="D32" s="170"/>
      <c r="E32" s="171"/>
      <c r="F32" s="172"/>
      <c r="G32" s="172"/>
      <c r="H32" s="172"/>
      <c r="I32" s="188">
        <f>SUM(I33)</f>
        <v>156</v>
      </c>
      <c r="J32" s="189">
        <f>SUM(J33)</f>
        <v>0</v>
      </c>
      <c r="K32" s="188">
        <f>SUM(I32)</f>
        <v>156</v>
      </c>
      <c r="L32" s="172">
        <f>SUM(I32)</f>
        <v>156</v>
      </c>
      <c r="M32" s="172"/>
      <c r="N32" s="172">
        <f>SUM(K32)</f>
        <v>156</v>
      </c>
      <c r="O32" s="178">
        <f t="shared" si="2"/>
        <v>156</v>
      </c>
      <c r="P32" s="92">
        <f t="shared" si="3"/>
        <v>0</v>
      </c>
    </row>
    <row r="33" spans="1:17" ht="31.5" x14ac:dyDescent="0.2">
      <c r="A33" s="42"/>
      <c r="B33" s="168" t="s">
        <v>35</v>
      </c>
      <c r="C33" s="169" t="s">
        <v>46</v>
      </c>
      <c r="D33" s="170" t="s">
        <v>36</v>
      </c>
      <c r="E33" s="171"/>
      <c r="F33" s="172"/>
      <c r="G33" s="172"/>
      <c r="H33" s="172"/>
      <c r="I33" s="188">
        <v>156</v>
      </c>
      <c r="J33" s="189"/>
      <c r="K33" s="188">
        <f>SUM(I33)</f>
        <v>156</v>
      </c>
      <c r="L33" s="172">
        <f>SUM(I33)</f>
        <v>156</v>
      </c>
      <c r="M33" s="172">
        <f>SUM(J33)</f>
        <v>0</v>
      </c>
      <c r="N33" s="172">
        <f>SUM(K33)</f>
        <v>156</v>
      </c>
      <c r="O33" s="178">
        <f t="shared" si="2"/>
        <v>156</v>
      </c>
      <c r="P33" s="92">
        <f t="shared" si="3"/>
        <v>0</v>
      </c>
    </row>
    <row r="34" spans="1:17" ht="31.5" x14ac:dyDescent="0.2">
      <c r="A34" s="19" t="s">
        <v>47</v>
      </c>
      <c r="B34" s="182" t="s">
        <v>48</v>
      </c>
      <c r="C34" s="183" t="s">
        <v>49</v>
      </c>
      <c r="D34" s="184" t="s">
        <v>26</v>
      </c>
      <c r="E34" s="185"/>
      <c r="F34" s="186">
        <f t="shared" ref="F34:N35" si="7">F35</f>
        <v>1813.8</v>
      </c>
      <c r="G34" s="186">
        <f t="shared" si="7"/>
        <v>0</v>
      </c>
      <c r="H34" s="186">
        <f t="shared" si="7"/>
        <v>1813.8</v>
      </c>
      <c r="I34" s="187">
        <f t="shared" si="7"/>
        <v>0</v>
      </c>
      <c r="J34" s="186">
        <f t="shared" si="7"/>
        <v>0</v>
      </c>
      <c r="K34" s="187">
        <f t="shared" si="7"/>
        <v>0</v>
      </c>
      <c r="L34" s="186">
        <f t="shared" si="7"/>
        <v>1813.8</v>
      </c>
      <c r="M34" s="186">
        <f t="shared" si="7"/>
        <v>0</v>
      </c>
      <c r="N34" s="186">
        <f t="shared" si="7"/>
        <v>1813.8</v>
      </c>
      <c r="O34" s="178">
        <f t="shared" si="2"/>
        <v>1813.8</v>
      </c>
      <c r="P34" s="92">
        <f t="shared" si="3"/>
        <v>0</v>
      </c>
    </row>
    <row r="35" spans="1:17" ht="50.45" customHeight="1" x14ac:dyDescent="0.2">
      <c r="A35" s="42"/>
      <c r="B35" s="168" t="s">
        <v>50</v>
      </c>
      <c r="C35" s="169" t="s">
        <v>51</v>
      </c>
      <c r="D35" s="170" t="s">
        <v>26</v>
      </c>
      <c r="E35" s="171"/>
      <c r="F35" s="172">
        <f t="shared" si="7"/>
        <v>1813.8</v>
      </c>
      <c r="G35" s="172">
        <f t="shared" si="7"/>
        <v>0</v>
      </c>
      <c r="H35" s="172">
        <f t="shared" si="7"/>
        <v>1813.8</v>
      </c>
      <c r="I35" s="188">
        <f t="shared" si="7"/>
        <v>0</v>
      </c>
      <c r="J35" s="189"/>
      <c r="K35" s="188">
        <f t="shared" si="7"/>
        <v>0</v>
      </c>
      <c r="L35" s="172">
        <f t="shared" si="7"/>
        <v>1813.8</v>
      </c>
      <c r="M35" s="172">
        <f t="shared" si="7"/>
        <v>0</v>
      </c>
      <c r="N35" s="172">
        <f t="shared" si="7"/>
        <v>1813.8</v>
      </c>
      <c r="O35" s="178">
        <f t="shared" si="2"/>
        <v>1813.8</v>
      </c>
      <c r="P35" s="92">
        <f t="shared" si="3"/>
        <v>0</v>
      </c>
    </row>
    <row r="36" spans="1:17" ht="36.6" customHeight="1" x14ac:dyDescent="0.2">
      <c r="A36" s="42"/>
      <c r="B36" s="168" t="s">
        <v>52</v>
      </c>
      <c r="C36" s="169" t="s">
        <v>53</v>
      </c>
      <c r="D36" s="170" t="s">
        <v>26</v>
      </c>
      <c r="E36" s="171"/>
      <c r="F36" s="172">
        <f>F37+F38</f>
        <v>1813.8</v>
      </c>
      <c r="G36" s="172">
        <f>G37+G38</f>
        <v>0</v>
      </c>
      <c r="H36" s="172">
        <f>H37+H38</f>
        <v>1813.8</v>
      </c>
      <c r="I36" s="188">
        <f>I37+I38</f>
        <v>0</v>
      </c>
      <c r="J36" s="189"/>
      <c r="K36" s="188">
        <f>K37+K38</f>
        <v>0</v>
      </c>
      <c r="L36" s="172">
        <f>L37+L38</f>
        <v>1813.8</v>
      </c>
      <c r="M36" s="172">
        <f>M37+M38</f>
        <v>0</v>
      </c>
      <c r="N36" s="172">
        <f>N37+N38</f>
        <v>1813.8</v>
      </c>
      <c r="O36" s="178">
        <f t="shared" si="2"/>
        <v>1813.8</v>
      </c>
      <c r="P36" s="92">
        <f t="shared" si="3"/>
        <v>0</v>
      </c>
    </row>
    <row r="37" spans="1:17" ht="31.5" x14ac:dyDescent="0.2">
      <c r="A37" s="42"/>
      <c r="B37" s="168" t="s">
        <v>35</v>
      </c>
      <c r="C37" s="169" t="s">
        <v>53</v>
      </c>
      <c r="D37" s="170" t="s">
        <v>36</v>
      </c>
      <c r="E37" s="171"/>
      <c r="F37" s="172">
        <v>300</v>
      </c>
      <c r="G37" s="172"/>
      <c r="H37" s="172">
        <v>300</v>
      </c>
      <c r="I37" s="188"/>
      <c r="J37" s="189"/>
      <c r="K37" s="188"/>
      <c r="L37" s="172">
        <v>300</v>
      </c>
      <c r="M37" s="172"/>
      <c r="N37" s="172">
        <v>300</v>
      </c>
      <c r="O37" s="178">
        <f t="shared" si="2"/>
        <v>300</v>
      </c>
      <c r="P37" s="92">
        <f t="shared" si="3"/>
        <v>0</v>
      </c>
    </row>
    <row r="38" spans="1:17" ht="18.75" x14ac:dyDescent="0.2">
      <c r="A38" s="42"/>
      <c r="B38" s="168" t="s">
        <v>54</v>
      </c>
      <c r="C38" s="169" t="s">
        <v>53</v>
      </c>
      <c r="D38" s="170" t="s">
        <v>55</v>
      </c>
      <c r="E38" s="171"/>
      <c r="F38" s="172">
        <v>1513.8</v>
      </c>
      <c r="G38" s="172"/>
      <c r="H38" s="172">
        <v>1513.8</v>
      </c>
      <c r="I38" s="188"/>
      <c r="J38" s="189"/>
      <c r="K38" s="188"/>
      <c r="L38" s="172">
        <v>1513.8</v>
      </c>
      <c r="M38" s="172"/>
      <c r="N38" s="172">
        <v>1513.8</v>
      </c>
      <c r="O38" s="178">
        <f t="shared" si="2"/>
        <v>1513.8</v>
      </c>
      <c r="P38" s="92">
        <f t="shared" si="3"/>
        <v>0</v>
      </c>
    </row>
    <row r="39" spans="1:17" ht="31.5" x14ac:dyDescent="0.2">
      <c r="A39" s="19" t="s">
        <v>56</v>
      </c>
      <c r="B39" s="182" t="s">
        <v>57</v>
      </c>
      <c r="C39" s="183" t="s">
        <v>58</v>
      </c>
      <c r="D39" s="184" t="s">
        <v>26</v>
      </c>
      <c r="E39" s="185"/>
      <c r="F39" s="186">
        <f t="shared" ref="F39:N39" si="8">F40+F48+F73</f>
        <v>141470.30000000002</v>
      </c>
      <c r="G39" s="186">
        <f>G40+G48+G73</f>
        <v>1315.6000000000001</v>
      </c>
      <c r="H39" s="186">
        <f t="shared" si="8"/>
        <v>142785.9</v>
      </c>
      <c r="I39" s="187">
        <f t="shared" si="8"/>
        <v>22124.100000000002</v>
      </c>
      <c r="J39" s="271">
        <f t="shared" si="8"/>
        <v>5795.5</v>
      </c>
      <c r="K39" s="187">
        <f t="shared" si="8"/>
        <v>27919.600000000002</v>
      </c>
      <c r="L39" s="186">
        <f t="shared" si="8"/>
        <v>163594.4</v>
      </c>
      <c r="M39" s="271">
        <f t="shared" si="8"/>
        <v>7111.1</v>
      </c>
      <c r="N39" s="271">
        <f t="shared" si="8"/>
        <v>170705.5</v>
      </c>
      <c r="O39" s="178">
        <f t="shared" si="2"/>
        <v>170705.5</v>
      </c>
      <c r="P39" s="92">
        <f t="shared" si="3"/>
        <v>0</v>
      </c>
      <c r="Q39" s="25"/>
    </row>
    <row r="40" spans="1:17" ht="18.75" x14ac:dyDescent="0.2">
      <c r="A40" s="49"/>
      <c r="B40" s="190" t="s">
        <v>59</v>
      </c>
      <c r="C40" s="191" t="s">
        <v>60</v>
      </c>
      <c r="D40" s="192" t="s">
        <v>26</v>
      </c>
      <c r="E40" s="193"/>
      <c r="F40" s="194">
        <f>F41</f>
        <v>7359.9</v>
      </c>
      <c r="G40" s="194">
        <f>G41</f>
        <v>0</v>
      </c>
      <c r="H40" s="194">
        <f>H41</f>
        <v>7359.9</v>
      </c>
      <c r="I40" s="195">
        <f>I41</f>
        <v>0</v>
      </c>
      <c r="J40" s="196"/>
      <c r="K40" s="195">
        <f>K41</f>
        <v>0</v>
      </c>
      <c r="L40" s="194">
        <f>L41</f>
        <v>7359.9</v>
      </c>
      <c r="M40" s="194">
        <f>M41</f>
        <v>0</v>
      </c>
      <c r="N40" s="194">
        <f>N41</f>
        <v>7359.9</v>
      </c>
      <c r="O40" s="178">
        <f t="shared" si="2"/>
        <v>7359.9</v>
      </c>
      <c r="P40" s="92">
        <f t="shared" si="3"/>
        <v>0</v>
      </c>
    </row>
    <row r="41" spans="1:17" ht="18.75" x14ac:dyDescent="0.2">
      <c r="A41" s="42"/>
      <c r="B41" s="168" t="s">
        <v>61</v>
      </c>
      <c r="C41" s="169" t="s">
        <v>62</v>
      </c>
      <c r="D41" s="170" t="s">
        <v>26</v>
      </c>
      <c r="E41" s="171"/>
      <c r="F41" s="172">
        <f>F42+F44+F46</f>
        <v>7359.9</v>
      </c>
      <c r="G41" s="172">
        <f>G42+G44+G46</f>
        <v>0</v>
      </c>
      <c r="H41" s="172">
        <f>H42+H44+H46</f>
        <v>7359.9</v>
      </c>
      <c r="I41" s="188">
        <f>I42+I44+I46</f>
        <v>0</v>
      </c>
      <c r="J41" s="189"/>
      <c r="K41" s="188">
        <f>K42+K44+K46</f>
        <v>0</v>
      </c>
      <c r="L41" s="172">
        <f>L42+L44+L46</f>
        <v>7359.9</v>
      </c>
      <c r="M41" s="172">
        <f>M42+M44+M46</f>
        <v>0</v>
      </c>
      <c r="N41" s="172">
        <f>N42+N44+N46</f>
        <v>7359.9</v>
      </c>
      <c r="O41" s="178">
        <f t="shared" si="2"/>
        <v>7359.9</v>
      </c>
      <c r="P41" s="92">
        <f t="shared" si="3"/>
        <v>0</v>
      </c>
    </row>
    <row r="42" spans="1:17" ht="18.75" x14ac:dyDescent="0.2">
      <c r="A42" s="42"/>
      <c r="B42" s="168" t="s">
        <v>63</v>
      </c>
      <c r="C42" s="169" t="s">
        <v>64</v>
      </c>
      <c r="D42" s="170" t="s">
        <v>26</v>
      </c>
      <c r="E42" s="171"/>
      <c r="F42" s="172">
        <f>F43</f>
        <v>6459.9</v>
      </c>
      <c r="G42" s="172">
        <f>G43</f>
        <v>0</v>
      </c>
      <c r="H42" s="172">
        <f>H43</f>
        <v>6459.9</v>
      </c>
      <c r="I42" s="188">
        <f>I43</f>
        <v>0</v>
      </c>
      <c r="J42" s="189"/>
      <c r="K42" s="188">
        <f>K43</f>
        <v>0</v>
      </c>
      <c r="L42" s="172">
        <f>L43</f>
        <v>6459.9</v>
      </c>
      <c r="M42" s="172">
        <f>M43</f>
        <v>0</v>
      </c>
      <c r="N42" s="172">
        <f>N43</f>
        <v>6459.9</v>
      </c>
      <c r="O42" s="178">
        <f t="shared" si="2"/>
        <v>6459.9</v>
      </c>
      <c r="P42" s="92">
        <f t="shared" si="3"/>
        <v>0</v>
      </c>
    </row>
    <row r="43" spans="1:17" ht="31.5" x14ac:dyDescent="0.2">
      <c r="A43" s="42"/>
      <c r="B43" s="168" t="s">
        <v>35</v>
      </c>
      <c r="C43" s="169" t="s">
        <v>64</v>
      </c>
      <c r="D43" s="170" t="s">
        <v>36</v>
      </c>
      <c r="E43" s="171"/>
      <c r="F43" s="172">
        <v>6459.9</v>
      </c>
      <c r="G43" s="172"/>
      <c r="H43" s="172">
        <f>SUM(F43)+G43</f>
        <v>6459.9</v>
      </c>
      <c r="I43" s="188">
        <v>0</v>
      </c>
      <c r="J43" s="189"/>
      <c r="K43" s="188">
        <v>0</v>
      </c>
      <c r="L43" s="172">
        <f>SUM(F43)</f>
        <v>6459.9</v>
      </c>
      <c r="M43" s="172">
        <f>SUM(G43)</f>
        <v>0</v>
      </c>
      <c r="N43" s="172">
        <f>SUM(L43)+M43</f>
        <v>6459.9</v>
      </c>
      <c r="O43" s="178">
        <f t="shared" si="2"/>
        <v>6459.9</v>
      </c>
      <c r="P43" s="92">
        <f t="shared" si="3"/>
        <v>0</v>
      </c>
    </row>
    <row r="44" spans="1:17" ht="18.75" x14ac:dyDescent="0.2">
      <c r="A44" s="42"/>
      <c r="B44" s="168" t="s">
        <v>65</v>
      </c>
      <c r="C44" s="169" t="s">
        <v>66</v>
      </c>
      <c r="D44" s="170" t="s">
        <v>26</v>
      </c>
      <c r="E44" s="171"/>
      <c r="F44" s="172">
        <f>F45</f>
        <v>900</v>
      </c>
      <c r="G44" s="172">
        <f>G45</f>
        <v>0</v>
      </c>
      <c r="H44" s="172">
        <f>H45</f>
        <v>900</v>
      </c>
      <c r="I44" s="188">
        <f>I45</f>
        <v>0</v>
      </c>
      <c r="J44" s="189"/>
      <c r="K44" s="188">
        <f>K45</f>
        <v>0</v>
      </c>
      <c r="L44" s="172">
        <f>L45</f>
        <v>900</v>
      </c>
      <c r="M44" s="172">
        <f>M45</f>
        <v>0</v>
      </c>
      <c r="N44" s="172">
        <f>N45</f>
        <v>900</v>
      </c>
      <c r="O44" s="178">
        <f t="shared" si="2"/>
        <v>900</v>
      </c>
      <c r="P44" s="92">
        <f t="shared" si="3"/>
        <v>0</v>
      </c>
    </row>
    <row r="45" spans="1:17" ht="31.5" x14ac:dyDescent="0.2">
      <c r="A45" s="42"/>
      <c r="B45" s="168" t="s">
        <v>35</v>
      </c>
      <c r="C45" s="169" t="s">
        <v>66</v>
      </c>
      <c r="D45" s="170" t="s">
        <v>36</v>
      </c>
      <c r="E45" s="171"/>
      <c r="F45" s="172">
        <v>900</v>
      </c>
      <c r="G45" s="172"/>
      <c r="H45" s="172">
        <v>900</v>
      </c>
      <c r="I45" s="188">
        <v>0</v>
      </c>
      <c r="J45" s="189"/>
      <c r="K45" s="188">
        <v>0</v>
      </c>
      <c r="L45" s="172">
        <f>SUM(F45)</f>
        <v>900</v>
      </c>
      <c r="M45" s="172">
        <f>SUM(G45)</f>
        <v>0</v>
      </c>
      <c r="N45" s="172">
        <f>SUM(H45)</f>
        <v>900</v>
      </c>
      <c r="O45" s="178">
        <f t="shared" si="2"/>
        <v>900</v>
      </c>
      <c r="P45" s="92">
        <f t="shared" si="3"/>
        <v>0</v>
      </c>
    </row>
    <row r="46" spans="1:17" ht="18.75" x14ac:dyDescent="0.2">
      <c r="A46" s="42"/>
      <c r="B46" s="168" t="s">
        <v>67</v>
      </c>
      <c r="C46" s="169" t="s">
        <v>68</v>
      </c>
      <c r="D46" s="170" t="s">
        <v>26</v>
      </c>
      <c r="E46" s="171"/>
      <c r="F46" s="172">
        <f>F47</f>
        <v>0</v>
      </c>
      <c r="G46" s="172">
        <f>G47</f>
        <v>0</v>
      </c>
      <c r="H46" s="172">
        <f>H47</f>
        <v>0</v>
      </c>
      <c r="I46" s="188">
        <f>I47</f>
        <v>0</v>
      </c>
      <c r="J46" s="189"/>
      <c r="K46" s="188">
        <f>K47</f>
        <v>0</v>
      </c>
      <c r="L46" s="172">
        <f>L47</f>
        <v>0</v>
      </c>
      <c r="M46" s="172">
        <f>M47</f>
        <v>0</v>
      </c>
      <c r="N46" s="172">
        <f>N47</f>
        <v>0</v>
      </c>
      <c r="O46" s="178">
        <f t="shared" si="2"/>
        <v>0</v>
      </c>
      <c r="P46" s="92">
        <f t="shared" si="3"/>
        <v>0</v>
      </c>
    </row>
    <row r="47" spans="1:17" ht="31.5" x14ac:dyDescent="0.2">
      <c r="A47" s="42"/>
      <c r="B47" s="168" t="s">
        <v>35</v>
      </c>
      <c r="C47" s="169" t="s">
        <v>68</v>
      </c>
      <c r="D47" s="170" t="s">
        <v>36</v>
      </c>
      <c r="E47" s="171"/>
      <c r="F47" s="172"/>
      <c r="G47" s="172"/>
      <c r="H47" s="172"/>
      <c r="I47" s="188">
        <v>0</v>
      </c>
      <c r="J47" s="189"/>
      <c r="K47" s="188">
        <v>0</v>
      </c>
      <c r="L47" s="172"/>
      <c r="M47" s="172"/>
      <c r="N47" s="172"/>
      <c r="O47" s="178">
        <f t="shared" si="2"/>
        <v>0</v>
      </c>
      <c r="P47" s="92">
        <f t="shared" si="3"/>
        <v>0</v>
      </c>
    </row>
    <row r="48" spans="1:17" ht="47.25" x14ac:dyDescent="0.2">
      <c r="A48" s="49"/>
      <c r="B48" s="190" t="s">
        <v>69</v>
      </c>
      <c r="C48" s="191" t="s">
        <v>70</v>
      </c>
      <c r="D48" s="192" t="s">
        <v>26</v>
      </c>
      <c r="E48" s="193"/>
      <c r="F48" s="194">
        <f t="shared" ref="F48:N48" si="9">F49+F68+F65</f>
        <v>132019.80000000002</v>
      </c>
      <c r="G48" s="194">
        <f t="shared" si="9"/>
        <v>1315.6000000000001</v>
      </c>
      <c r="H48" s="194">
        <f t="shared" si="9"/>
        <v>133335.4</v>
      </c>
      <c r="I48" s="195">
        <f t="shared" si="9"/>
        <v>22124.100000000002</v>
      </c>
      <c r="J48" s="194">
        <f t="shared" si="9"/>
        <v>5795.5</v>
      </c>
      <c r="K48" s="195">
        <f t="shared" si="9"/>
        <v>27919.600000000002</v>
      </c>
      <c r="L48" s="194">
        <f t="shared" si="9"/>
        <v>154143.9</v>
      </c>
      <c r="M48" s="194">
        <f t="shared" si="9"/>
        <v>7111.1</v>
      </c>
      <c r="N48" s="272">
        <f t="shared" si="9"/>
        <v>161255</v>
      </c>
      <c r="O48" s="178">
        <f t="shared" si="2"/>
        <v>161255</v>
      </c>
      <c r="P48" s="92">
        <f t="shared" si="3"/>
        <v>0</v>
      </c>
      <c r="Q48" s="55"/>
    </row>
    <row r="49" spans="1:18" ht="36.6" customHeight="1" x14ac:dyDescent="0.2">
      <c r="A49" s="42"/>
      <c r="B49" s="168" t="s">
        <v>71</v>
      </c>
      <c r="C49" s="169" t="s">
        <v>72</v>
      </c>
      <c r="D49" s="170" t="s">
        <v>26</v>
      </c>
      <c r="E49" s="171"/>
      <c r="F49" s="172">
        <f>F50+F59+F63+F57+F55</f>
        <v>121048.90000000001</v>
      </c>
      <c r="G49" s="172">
        <f>G50+G59+G63+G57+G55</f>
        <v>770.00000000000011</v>
      </c>
      <c r="H49" s="172">
        <f>H50+H59+H63+H57+H55</f>
        <v>121818.9</v>
      </c>
      <c r="I49" s="172">
        <f>I50+I59+I63+I57+I61</f>
        <v>20561.600000000002</v>
      </c>
      <c r="J49" s="172">
        <f>SUM(J57)+J50+J59+J61</f>
        <v>5795.5</v>
      </c>
      <c r="K49" s="172">
        <f>K50+K59+K63+K57+K61</f>
        <v>26357.100000000002</v>
      </c>
      <c r="L49" s="172">
        <f>SUM(F49+I49)</f>
        <v>141610.5</v>
      </c>
      <c r="M49" s="172">
        <f>M50+M59+M63+M65+M57+M55</f>
        <v>6565.5</v>
      </c>
      <c r="N49" s="273">
        <f>H49+K49</f>
        <v>148176</v>
      </c>
      <c r="O49" s="178">
        <f t="shared" si="2"/>
        <v>148176</v>
      </c>
      <c r="P49" s="92">
        <f t="shared" si="3"/>
        <v>0</v>
      </c>
      <c r="Q49" s="48">
        <v>148176</v>
      </c>
      <c r="R49" s="276">
        <f>Q49-N49</f>
        <v>0</v>
      </c>
    </row>
    <row r="50" spans="1:18" ht="31.5" x14ac:dyDescent="0.2">
      <c r="A50" s="42"/>
      <c r="B50" s="168" t="s">
        <v>39</v>
      </c>
      <c r="C50" s="169" t="s">
        <v>73</v>
      </c>
      <c r="D50" s="170" t="s">
        <v>26</v>
      </c>
      <c r="E50" s="171"/>
      <c r="F50" s="172">
        <f>SUM(F53+F54+F52)+F51</f>
        <v>115378.9</v>
      </c>
      <c r="G50" s="172">
        <f>G51+G52+G53+G54</f>
        <v>-217.4</v>
      </c>
      <c r="H50" s="172">
        <f>H51+H52+H53+H54</f>
        <v>115161.5</v>
      </c>
      <c r="I50" s="188">
        <f>I51+I52+I53+I54</f>
        <v>16215.400000000001</v>
      </c>
      <c r="J50" s="189">
        <f>SUM(J53+J51)</f>
        <v>5795.5</v>
      </c>
      <c r="K50" s="188">
        <f>K51+K52+K53+K54</f>
        <v>22010.9</v>
      </c>
      <c r="L50" s="172">
        <f>L51+L52+L53+L54</f>
        <v>131594.30000000002</v>
      </c>
      <c r="M50" s="172">
        <f>M51+M52+M53+M54</f>
        <v>5578.1</v>
      </c>
      <c r="N50" s="273">
        <f>N51+N52+N53+N54</f>
        <v>137172.4</v>
      </c>
      <c r="O50" s="178">
        <f t="shared" si="2"/>
        <v>137172.40000000002</v>
      </c>
      <c r="P50" s="92">
        <f t="shared" si="3"/>
        <v>0</v>
      </c>
    </row>
    <row r="51" spans="1:18" ht="64.150000000000006" customHeight="1" x14ac:dyDescent="0.2">
      <c r="A51" s="42"/>
      <c r="B51" s="168" t="s">
        <v>31</v>
      </c>
      <c r="C51" s="169" t="s">
        <v>73</v>
      </c>
      <c r="D51" s="170" t="s">
        <v>32</v>
      </c>
      <c r="E51" s="171"/>
      <c r="F51" s="172">
        <v>20848.900000000001</v>
      </c>
      <c r="G51" s="172">
        <v>-217.4</v>
      </c>
      <c r="H51" s="172">
        <f>F51+G51</f>
        <v>20631.5</v>
      </c>
      <c r="I51" s="188">
        <v>2756.8</v>
      </c>
      <c r="J51" s="189">
        <f>1306.2+130.2</f>
        <v>1436.4</v>
      </c>
      <c r="K51" s="188">
        <f>I51+J51</f>
        <v>4193.2000000000007</v>
      </c>
      <c r="L51" s="172">
        <f>F51+I51</f>
        <v>23605.7</v>
      </c>
      <c r="M51" s="172">
        <f>G51+J51</f>
        <v>1219</v>
      </c>
      <c r="N51" s="273">
        <f>H51+K51</f>
        <v>24824.7</v>
      </c>
      <c r="O51" s="178">
        <f t="shared" si="2"/>
        <v>24824.7</v>
      </c>
      <c r="P51" s="92">
        <f t="shared" si="3"/>
        <v>0</v>
      </c>
    </row>
    <row r="52" spans="1:18" ht="31.5" x14ac:dyDescent="0.2">
      <c r="A52" s="42"/>
      <c r="B52" s="168" t="s">
        <v>35</v>
      </c>
      <c r="C52" s="169" t="s">
        <v>73</v>
      </c>
      <c r="D52" s="170" t="s">
        <v>36</v>
      </c>
      <c r="E52" s="171"/>
      <c r="F52" s="172">
        <v>6632.7</v>
      </c>
      <c r="G52" s="172"/>
      <c r="H52" s="172">
        <f>SUM(F52)+G52</f>
        <v>6632.7</v>
      </c>
      <c r="I52" s="188">
        <v>0</v>
      </c>
      <c r="J52" s="189"/>
      <c r="K52" s="188">
        <v>0</v>
      </c>
      <c r="L52" s="172">
        <f>SUM(F52)</f>
        <v>6632.7</v>
      </c>
      <c r="M52" s="172">
        <f>SUM(G52)</f>
        <v>0</v>
      </c>
      <c r="N52" s="273">
        <f>SUM(H52)</f>
        <v>6632.7</v>
      </c>
      <c r="O52" s="178">
        <f t="shared" si="2"/>
        <v>6632.7</v>
      </c>
      <c r="P52" s="92">
        <f t="shared" si="3"/>
        <v>0</v>
      </c>
    </row>
    <row r="53" spans="1:18" ht="31.5" x14ac:dyDescent="0.2">
      <c r="A53" s="42"/>
      <c r="B53" s="168" t="s">
        <v>74</v>
      </c>
      <c r="C53" s="169" t="s">
        <v>73</v>
      </c>
      <c r="D53" s="170" t="s">
        <v>75</v>
      </c>
      <c r="E53" s="171"/>
      <c r="F53" s="172">
        <f>86661+1213.2</f>
        <v>87874.2</v>
      </c>
      <c r="G53" s="172"/>
      <c r="H53" s="172">
        <f>86661+1213.2</f>
        <v>87874.2</v>
      </c>
      <c r="I53" s="188">
        <v>13458.6</v>
      </c>
      <c r="J53" s="189">
        <f>3877.8+481.2+0.1</f>
        <v>4359.1000000000004</v>
      </c>
      <c r="K53" s="188">
        <f>I53+J53</f>
        <v>17817.7</v>
      </c>
      <c r="L53" s="172">
        <f>86661+1213.2+I53</f>
        <v>101332.8</v>
      </c>
      <c r="M53" s="172">
        <f>G53+J53</f>
        <v>4359.1000000000004</v>
      </c>
      <c r="N53" s="273">
        <f>86661+1213.2+K53</f>
        <v>105691.9</v>
      </c>
      <c r="O53" s="178">
        <f t="shared" si="2"/>
        <v>105691.90000000001</v>
      </c>
      <c r="P53" s="92">
        <f t="shared" si="3"/>
        <v>0</v>
      </c>
    </row>
    <row r="54" spans="1:18" ht="18.75" x14ac:dyDescent="0.2">
      <c r="A54" s="42"/>
      <c r="B54" s="168" t="s">
        <v>41</v>
      </c>
      <c r="C54" s="169" t="s">
        <v>73</v>
      </c>
      <c r="D54" s="170" t="s">
        <v>42</v>
      </c>
      <c r="E54" s="171"/>
      <c r="F54" s="172">
        <v>23.1</v>
      </c>
      <c r="G54" s="172"/>
      <c r="H54" s="172">
        <v>23.1</v>
      </c>
      <c r="I54" s="188">
        <v>0</v>
      </c>
      <c r="J54" s="189"/>
      <c r="K54" s="188">
        <v>0</v>
      </c>
      <c r="L54" s="172">
        <f>SUM(F54)</f>
        <v>23.1</v>
      </c>
      <c r="M54" s="172">
        <f>SUM(G54)</f>
        <v>0</v>
      </c>
      <c r="N54" s="273">
        <f>SUM(H54)</f>
        <v>23.1</v>
      </c>
      <c r="O54" s="178">
        <f t="shared" si="2"/>
        <v>23.1</v>
      </c>
      <c r="P54" s="92">
        <f t="shared" si="3"/>
        <v>0</v>
      </c>
    </row>
    <row r="55" spans="1:18" ht="31.5" x14ac:dyDescent="0.2">
      <c r="A55" s="42"/>
      <c r="B55" s="168" t="s">
        <v>211</v>
      </c>
      <c r="C55" s="169" t="s">
        <v>495</v>
      </c>
      <c r="D55" s="170"/>
      <c r="E55" s="171"/>
      <c r="F55" s="172">
        <f>F56</f>
        <v>523.29999999999995</v>
      </c>
      <c r="G55" s="172">
        <f t="shared" ref="G55:N55" si="10">G56</f>
        <v>57.9</v>
      </c>
      <c r="H55" s="172">
        <f t="shared" si="10"/>
        <v>581.19999999999993</v>
      </c>
      <c r="I55" s="172">
        <f t="shared" si="10"/>
        <v>0</v>
      </c>
      <c r="J55" s="172">
        <f t="shared" si="10"/>
        <v>0</v>
      </c>
      <c r="K55" s="172">
        <f t="shared" si="10"/>
        <v>0</v>
      </c>
      <c r="L55" s="172">
        <f t="shared" si="10"/>
        <v>523.29999999999995</v>
      </c>
      <c r="M55" s="172">
        <f t="shared" si="10"/>
        <v>57.9</v>
      </c>
      <c r="N55" s="273">
        <f t="shared" si="10"/>
        <v>581.19999999999993</v>
      </c>
      <c r="O55" s="178">
        <f t="shared" si="2"/>
        <v>581.19999999999993</v>
      </c>
      <c r="P55" s="92">
        <f t="shared" si="3"/>
        <v>0</v>
      </c>
    </row>
    <row r="56" spans="1:18" ht="31.5" x14ac:dyDescent="0.2">
      <c r="A56" s="42"/>
      <c r="B56" s="168" t="s">
        <v>74</v>
      </c>
      <c r="C56" s="169" t="s">
        <v>495</v>
      </c>
      <c r="D56" s="170" t="s">
        <v>75</v>
      </c>
      <c r="E56" s="171"/>
      <c r="F56" s="172">
        <v>523.29999999999995</v>
      </c>
      <c r="G56" s="172">
        <v>57.9</v>
      </c>
      <c r="H56" s="172">
        <f>F56+G56</f>
        <v>581.19999999999993</v>
      </c>
      <c r="I56" s="188"/>
      <c r="J56" s="189"/>
      <c r="K56" s="188"/>
      <c r="L56" s="172">
        <f>SUM(F56)</f>
        <v>523.29999999999995</v>
      </c>
      <c r="M56" s="172">
        <f>SUM(G56)</f>
        <v>57.9</v>
      </c>
      <c r="N56" s="273">
        <f>L56+M56</f>
        <v>581.19999999999993</v>
      </c>
      <c r="O56" s="178">
        <f t="shared" si="2"/>
        <v>581.19999999999993</v>
      </c>
      <c r="P56" s="92">
        <f t="shared" si="3"/>
        <v>0</v>
      </c>
    </row>
    <row r="57" spans="1:18" ht="42.75" customHeight="1" x14ac:dyDescent="0.2">
      <c r="A57" s="42"/>
      <c r="B57" s="197" t="s">
        <v>76</v>
      </c>
      <c r="C57" s="169" t="s">
        <v>77</v>
      </c>
      <c r="D57" s="170"/>
      <c r="E57" s="171"/>
      <c r="F57" s="172">
        <f>SUM(F58)</f>
        <v>2706.6</v>
      </c>
      <c r="G57" s="172">
        <f>SUM(G58)</f>
        <v>-57.9</v>
      </c>
      <c r="H57" s="172">
        <f>SUM(F57)+G57</f>
        <v>2648.7</v>
      </c>
      <c r="I57" s="188">
        <f>SUM(I58)</f>
        <v>0</v>
      </c>
      <c r="J57" s="189">
        <f>SUM(J58)</f>
        <v>0</v>
      </c>
      <c r="K57" s="188">
        <f>SUM(K58)</f>
        <v>0</v>
      </c>
      <c r="L57" s="172">
        <f>SUM(L58)</f>
        <v>2706.6</v>
      </c>
      <c r="M57" s="172">
        <f>SUM(J57)+G57</f>
        <v>-57.9</v>
      </c>
      <c r="N57" s="273">
        <f>SUM(N58)</f>
        <v>2648.7</v>
      </c>
      <c r="O57" s="178">
        <f t="shared" si="2"/>
        <v>2648.7</v>
      </c>
      <c r="P57" s="92">
        <f t="shared" si="3"/>
        <v>0</v>
      </c>
    </row>
    <row r="58" spans="1:18" ht="31.5" x14ac:dyDescent="0.2">
      <c r="A58" s="42"/>
      <c r="B58" s="168" t="s">
        <v>74</v>
      </c>
      <c r="C58" s="169" t="s">
        <v>77</v>
      </c>
      <c r="D58" s="170" t="s">
        <v>75</v>
      </c>
      <c r="E58" s="171"/>
      <c r="F58" s="172">
        <v>2706.6</v>
      </c>
      <c r="G58" s="172">
        <v>-57.9</v>
      </c>
      <c r="H58" s="172">
        <f>SUM(F58)+G58</f>
        <v>2648.7</v>
      </c>
      <c r="I58" s="188">
        <v>0</v>
      </c>
      <c r="J58" s="189"/>
      <c r="K58" s="188">
        <f>SUM(I58)+J58</f>
        <v>0</v>
      </c>
      <c r="L58" s="172">
        <f>SUM(F58+I58)</f>
        <v>2706.6</v>
      </c>
      <c r="M58" s="172">
        <f>SUM(J58)+G58</f>
        <v>-57.9</v>
      </c>
      <c r="N58" s="273">
        <f>SUM(K58)+H58</f>
        <v>2648.7</v>
      </c>
      <c r="O58" s="178">
        <f t="shared" si="2"/>
        <v>2648.7</v>
      </c>
      <c r="P58" s="92">
        <f t="shared" si="3"/>
        <v>0</v>
      </c>
    </row>
    <row r="59" spans="1:18" ht="36" customHeight="1" x14ac:dyDescent="0.2">
      <c r="A59" s="42"/>
      <c r="B59" s="168" t="s">
        <v>78</v>
      </c>
      <c r="C59" s="169" t="s">
        <v>79</v>
      </c>
      <c r="D59" s="170" t="s">
        <v>26</v>
      </c>
      <c r="E59" s="171"/>
      <c r="F59" s="172">
        <f t="shared" ref="F59:N59" si="11">F60</f>
        <v>1814</v>
      </c>
      <c r="G59" s="172">
        <f t="shared" si="11"/>
        <v>987.40000000000009</v>
      </c>
      <c r="H59" s="172">
        <f t="shared" si="11"/>
        <v>2801.4</v>
      </c>
      <c r="I59" s="188">
        <f t="shared" si="11"/>
        <v>0</v>
      </c>
      <c r="J59" s="189">
        <f t="shared" si="11"/>
        <v>0</v>
      </c>
      <c r="K59" s="188">
        <f t="shared" si="11"/>
        <v>0</v>
      </c>
      <c r="L59" s="172">
        <f t="shared" si="11"/>
        <v>1814</v>
      </c>
      <c r="M59" s="172">
        <f t="shared" si="11"/>
        <v>987.40000000000009</v>
      </c>
      <c r="N59" s="273">
        <f t="shared" si="11"/>
        <v>2801.4</v>
      </c>
      <c r="O59" s="178">
        <f t="shared" si="2"/>
        <v>2801.4</v>
      </c>
      <c r="P59" s="92">
        <f t="shared" si="3"/>
        <v>0</v>
      </c>
    </row>
    <row r="60" spans="1:18" ht="31.5" x14ac:dyDescent="0.2">
      <c r="A60" s="42"/>
      <c r="B60" s="168" t="s">
        <v>74</v>
      </c>
      <c r="C60" s="169" t="s">
        <v>79</v>
      </c>
      <c r="D60" s="170" t="s">
        <v>75</v>
      </c>
      <c r="E60" s="171"/>
      <c r="F60" s="172">
        <v>1814</v>
      </c>
      <c r="G60" s="172">
        <f>336.2+651.2</f>
        <v>987.40000000000009</v>
      </c>
      <c r="H60" s="172">
        <f>SUM(F60)+G60</f>
        <v>2801.4</v>
      </c>
      <c r="I60" s="188">
        <v>0</v>
      </c>
      <c r="J60" s="189"/>
      <c r="K60" s="188">
        <f>SUM(I60:J60)</f>
        <v>0</v>
      </c>
      <c r="L60" s="172">
        <f>SUM(F60)</f>
        <v>1814</v>
      </c>
      <c r="M60" s="254">
        <f>G60+J60</f>
        <v>987.40000000000009</v>
      </c>
      <c r="N60" s="273">
        <f>SUM(L60)+M60</f>
        <v>2801.4</v>
      </c>
      <c r="O60" s="178">
        <f t="shared" si="2"/>
        <v>2801.4</v>
      </c>
      <c r="P60" s="92">
        <f t="shared" si="3"/>
        <v>0</v>
      </c>
    </row>
    <row r="61" spans="1:18" ht="63" x14ac:dyDescent="0.2">
      <c r="A61" s="42"/>
      <c r="B61" s="168" t="s">
        <v>484</v>
      </c>
      <c r="C61" s="169" t="s">
        <v>483</v>
      </c>
      <c r="D61" s="170" t="s">
        <v>26</v>
      </c>
      <c r="E61" s="171"/>
      <c r="F61" s="172"/>
      <c r="G61" s="172"/>
      <c r="H61" s="172"/>
      <c r="I61" s="188">
        <v>500</v>
      </c>
      <c r="J61" s="189">
        <f>J62</f>
        <v>0</v>
      </c>
      <c r="K61" s="189">
        <f>K62</f>
        <v>500</v>
      </c>
      <c r="L61" s="172">
        <f>F61+I61</f>
        <v>500</v>
      </c>
      <c r="M61" s="172">
        <f>G61+J61</f>
        <v>0</v>
      </c>
      <c r="N61" s="172">
        <f>N62</f>
        <v>500</v>
      </c>
      <c r="O61" s="178">
        <f t="shared" si="2"/>
        <v>500</v>
      </c>
      <c r="P61" s="92">
        <f t="shared" si="3"/>
        <v>0</v>
      </c>
    </row>
    <row r="62" spans="1:18" ht="31.5" x14ac:dyDescent="0.2">
      <c r="A62" s="42"/>
      <c r="B62" s="168" t="s">
        <v>74</v>
      </c>
      <c r="C62" s="169" t="s">
        <v>483</v>
      </c>
      <c r="D62" s="170" t="s">
        <v>75</v>
      </c>
      <c r="E62" s="171"/>
      <c r="F62" s="172"/>
      <c r="G62" s="172"/>
      <c r="H62" s="172"/>
      <c r="I62" s="188">
        <v>500</v>
      </c>
      <c r="J62" s="189"/>
      <c r="K62" s="188">
        <f>SUM(I62:J62)</f>
        <v>500</v>
      </c>
      <c r="L62" s="172">
        <f>F62+I62</f>
        <v>500</v>
      </c>
      <c r="M62" s="172">
        <f>G62+J62</f>
        <v>0</v>
      </c>
      <c r="N62" s="273">
        <f>SUM(L62:M62)</f>
        <v>500</v>
      </c>
      <c r="O62" s="178">
        <f t="shared" si="2"/>
        <v>500</v>
      </c>
      <c r="P62" s="92">
        <f t="shared" si="3"/>
        <v>0</v>
      </c>
    </row>
    <row r="63" spans="1:18" ht="33" customHeight="1" x14ac:dyDescent="0.2">
      <c r="A63" s="42"/>
      <c r="B63" s="168" t="s">
        <v>80</v>
      </c>
      <c r="C63" s="169" t="s">
        <v>81</v>
      </c>
      <c r="D63" s="170" t="s">
        <v>26</v>
      </c>
      <c r="E63" s="171"/>
      <c r="F63" s="172">
        <f>F64</f>
        <v>626.1</v>
      </c>
      <c r="G63" s="172">
        <f>G64</f>
        <v>0</v>
      </c>
      <c r="H63" s="172">
        <f>H64</f>
        <v>626.1</v>
      </c>
      <c r="I63" s="188">
        <f>I64</f>
        <v>3846.2</v>
      </c>
      <c r="J63" s="189"/>
      <c r="K63" s="188">
        <f>K64</f>
        <v>3846.2</v>
      </c>
      <c r="L63" s="254">
        <f>L64</f>
        <v>4472.3</v>
      </c>
      <c r="M63" s="172">
        <f>M64</f>
        <v>0</v>
      </c>
      <c r="N63" s="172">
        <f>N64</f>
        <v>4472.3</v>
      </c>
      <c r="O63" s="178">
        <f t="shared" si="2"/>
        <v>4472.3</v>
      </c>
      <c r="P63" s="92">
        <f t="shared" si="3"/>
        <v>0</v>
      </c>
    </row>
    <row r="64" spans="1:18" ht="31.5" x14ac:dyDescent="0.2">
      <c r="A64" s="42"/>
      <c r="B64" s="168" t="s">
        <v>74</v>
      </c>
      <c r="C64" s="169" t="s">
        <v>81</v>
      </c>
      <c r="D64" s="170" t="s">
        <v>75</v>
      </c>
      <c r="E64" s="171"/>
      <c r="F64" s="172">
        <v>626.1</v>
      </c>
      <c r="G64" s="172"/>
      <c r="H64" s="172">
        <v>626.1</v>
      </c>
      <c r="I64" s="188">
        <v>3846.2</v>
      </c>
      <c r="J64" s="189"/>
      <c r="K64" s="188">
        <v>3846.2</v>
      </c>
      <c r="L64" s="254">
        <f>F64+I64</f>
        <v>4472.3</v>
      </c>
      <c r="M64" s="172">
        <f>SUM(G64)</f>
        <v>0</v>
      </c>
      <c r="N64" s="172">
        <f>H64+K64</f>
        <v>4472.3</v>
      </c>
      <c r="O64" s="178">
        <f t="shared" si="2"/>
        <v>4472.3</v>
      </c>
      <c r="P64" s="92">
        <f t="shared" si="3"/>
        <v>0</v>
      </c>
    </row>
    <row r="65" spans="1:16" ht="18.75" x14ac:dyDescent="0.2">
      <c r="A65" s="42"/>
      <c r="B65" s="168" t="s">
        <v>82</v>
      </c>
      <c r="C65" s="169" t="s">
        <v>83</v>
      </c>
      <c r="D65" s="170"/>
      <c r="E65" s="171"/>
      <c r="F65" s="172">
        <v>254.4</v>
      </c>
      <c r="G65" s="172"/>
      <c r="H65" s="172">
        <v>254.4</v>
      </c>
      <c r="I65" s="188">
        <v>1562.5</v>
      </c>
      <c r="J65" s="189"/>
      <c r="K65" s="188">
        <v>1562.5</v>
      </c>
      <c r="L65" s="172">
        <f>254.4+I65</f>
        <v>1816.9</v>
      </c>
      <c r="M65" s="172"/>
      <c r="N65" s="273">
        <f>254.4+K65</f>
        <v>1816.9</v>
      </c>
      <c r="O65" s="178">
        <f t="shared" si="2"/>
        <v>1816.9</v>
      </c>
      <c r="P65" s="92">
        <f t="shared" si="3"/>
        <v>0</v>
      </c>
    </row>
    <row r="66" spans="1:16" ht="21" customHeight="1" x14ac:dyDescent="0.2">
      <c r="A66" s="42"/>
      <c r="B66" s="168" t="s">
        <v>84</v>
      </c>
      <c r="C66" s="169" t="s">
        <v>85</v>
      </c>
      <c r="D66" s="170"/>
      <c r="E66" s="171"/>
      <c r="F66" s="172">
        <v>254.4</v>
      </c>
      <c r="G66" s="172"/>
      <c r="H66" s="172">
        <v>254.4</v>
      </c>
      <c r="I66" s="188">
        <v>1562.5</v>
      </c>
      <c r="J66" s="189"/>
      <c r="K66" s="188">
        <v>1562.5</v>
      </c>
      <c r="L66" s="172">
        <f>254.4+I66</f>
        <v>1816.9</v>
      </c>
      <c r="M66" s="172"/>
      <c r="N66" s="273">
        <f>254.4+K66</f>
        <v>1816.9</v>
      </c>
      <c r="O66" s="178">
        <f t="shared" si="2"/>
        <v>1816.9</v>
      </c>
      <c r="P66" s="92">
        <f t="shared" si="3"/>
        <v>0</v>
      </c>
    </row>
    <row r="67" spans="1:16" ht="31.5" x14ac:dyDescent="0.2">
      <c r="A67" s="42"/>
      <c r="B67" s="168" t="s">
        <v>74</v>
      </c>
      <c r="C67" s="169" t="s">
        <v>83</v>
      </c>
      <c r="D67" s="170" t="s">
        <v>75</v>
      </c>
      <c r="E67" s="171"/>
      <c r="F67" s="172">
        <v>254.4</v>
      </c>
      <c r="G67" s="172"/>
      <c r="H67" s="172">
        <v>254.4</v>
      </c>
      <c r="I67" s="188">
        <v>1562.5</v>
      </c>
      <c r="J67" s="189"/>
      <c r="K67" s="188">
        <v>1562.5</v>
      </c>
      <c r="L67" s="172">
        <f>254.4+I67</f>
        <v>1816.9</v>
      </c>
      <c r="M67" s="172"/>
      <c r="N67" s="273">
        <f>254.4+K67</f>
        <v>1816.9</v>
      </c>
      <c r="O67" s="178">
        <f t="shared" si="2"/>
        <v>1816.9</v>
      </c>
      <c r="P67" s="92">
        <f t="shared" si="3"/>
        <v>0</v>
      </c>
    </row>
    <row r="68" spans="1:16" ht="36" customHeight="1" x14ac:dyDescent="0.2">
      <c r="A68" s="42"/>
      <c r="B68" s="168" t="s">
        <v>86</v>
      </c>
      <c r="C68" s="169" t="s">
        <v>87</v>
      </c>
      <c r="D68" s="170" t="s">
        <v>26</v>
      </c>
      <c r="E68" s="171"/>
      <c r="F68" s="172">
        <f>F69</f>
        <v>10716.5</v>
      </c>
      <c r="G68" s="172">
        <f>G69</f>
        <v>545.6</v>
      </c>
      <c r="H68" s="172">
        <f>H69</f>
        <v>11262.1</v>
      </c>
      <c r="I68" s="188">
        <f>I69</f>
        <v>0</v>
      </c>
      <c r="J68" s="189"/>
      <c r="K68" s="188">
        <f>K69</f>
        <v>0</v>
      </c>
      <c r="L68" s="172">
        <f>L69</f>
        <v>10716.5</v>
      </c>
      <c r="M68" s="172">
        <f>M69</f>
        <v>545.6</v>
      </c>
      <c r="N68" s="273">
        <f>N69</f>
        <v>11262.1</v>
      </c>
      <c r="O68" s="178">
        <f t="shared" si="2"/>
        <v>11262.1</v>
      </c>
      <c r="P68" s="92">
        <f t="shared" si="3"/>
        <v>0</v>
      </c>
    </row>
    <row r="69" spans="1:16" ht="31.5" x14ac:dyDescent="0.2">
      <c r="A69" s="42"/>
      <c r="B69" s="168" t="s">
        <v>39</v>
      </c>
      <c r="C69" s="169" t="s">
        <v>88</v>
      </c>
      <c r="D69" s="170" t="s">
        <v>26</v>
      </c>
      <c r="E69" s="171"/>
      <c r="F69" s="172">
        <f>F70+F71+F72</f>
        <v>10716.5</v>
      </c>
      <c r="G69" s="172">
        <f>G70+G71+G72</f>
        <v>545.6</v>
      </c>
      <c r="H69" s="172">
        <f>H70+H71+H72</f>
        <v>11262.1</v>
      </c>
      <c r="I69" s="188">
        <f>I70+I71+I72</f>
        <v>0</v>
      </c>
      <c r="J69" s="189"/>
      <c r="K69" s="188">
        <f>K70+K71+K72</f>
        <v>0</v>
      </c>
      <c r="L69" s="172">
        <f>L70+L71+L72</f>
        <v>10716.5</v>
      </c>
      <c r="M69" s="172">
        <f>M70+M71+M72</f>
        <v>545.6</v>
      </c>
      <c r="N69" s="273">
        <f>N70+N71+N72</f>
        <v>11262.1</v>
      </c>
      <c r="O69" s="178">
        <f t="shared" si="2"/>
        <v>11262.1</v>
      </c>
      <c r="P69" s="92">
        <f t="shared" si="3"/>
        <v>0</v>
      </c>
    </row>
    <row r="70" spans="1:16" ht="70.150000000000006" customHeight="1" x14ac:dyDescent="0.2">
      <c r="A70" s="42"/>
      <c r="B70" s="168" t="s">
        <v>31</v>
      </c>
      <c r="C70" s="169" t="s">
        <v>88</v>
      </c>
      <c r="D70" s="170" t="s">
        <v>32</v>
      </c>
      <c r="E70" s="171"/>
      <c r="F70" s="172">
        <v>9288.5</v>
      </c>
      <c r="G70" s="172">
        <v>545.6</v>
      </c>
      <c r="H70" s="172">
        <f>SUM(F70)+G70</f>
        <v>9834.1</v>
      </c>
      <c r="I70" s="188">
        <v>0</v>
      </c>
      <c r="J70" s="189"/>
      <c r="K70" s="188">
        <v>0</v>
      </c>
      <c r="L70" s="172">
        <f t="shared" ref="L70:N71" si="12">SUM(F70)</f>
        <v>9288.5</v>
      </c>
      <c r="M70" s="172">
        <f t="shared" si="12"/>
        <v>545.6</v>
      </c>
      <c r="N70" s="172">
        <f t="shared" si="12"/>
        <v>9834.1</v>
      </c>
      <c r="O70" s="178">
        <f t="shared" si="2"/>
        <v>9834.1</v>
      </c>
      <c r="P70" s="92">
        <f t="shared" si="3"/>
        <v>0</v>
      </c>
    </row>
    <row r="71" spans="1:16" ht="31.5" x14ac:dyDescent="0.2">
      <c r="A71" s="42"/>
      <c r="B71" s="168" t="s">
        <v>35</v>
      </c>
      <c r="C71" s="169" t="s">
        <v>88</v>
      </c>
      <c r="D71" s="170" t="s">
        <v>36</v>
      </c>
      <c r="E71" s="171"/>
      <c r="F71" s="172">
        <v>1426.9</v>
      </c>
      <c r="G71" s="172"/>
      <c r="H71" s="172">
        <f>SUM(F71)</f>
        <v>1426.9</v>
      </c>
      <c r="I71" s="188">
        <v>0</v>
      </c>
      <c r="J71" s="189"/>
      <c r="K71" s="188">
        <v>0</v>
      </c>
      <c r="L71" s="172">
        <f t="shared" si="12"/>
        <v>1426.9</v>
      </c>
      <c r="M71" s="172">
        <f t="shared" si="12"/>
        <v>0</v>
      </c>
      <c r="N71" s="172">
        <f t="shared" si="12"/>
        <v>1426.9</v>
      </c>
      <c r="O71" s="178">
        <f t="shared" si="2"/>
        <v>1426.9</v>
      </c>
      <c r="P71" s="92">
        <f t="shared" si="3"/>
        <v>0</v>
      </c>
    </row>
    <row r="72" spans="1:16" ht="18.75" x14ac:dyDescent="0.2">
      <c r="A72" s="42"/>
      <c r="B72" s="168" t="s">
        <v>41</v>
      </c>
      <c r="C72" s="169" t="s">
        <v>88</v>
      </c>
      <c r="D72" s="170" t="s">
        <v>42</v>
      </c>
      <c r="E72" s="171"/>
      <c r="F72" s="172">
        <v>1.1000000000000001</v>
      </c>
      <c r="G72" s="172"/>
      <c r="H72" s="172">
        <v>1.1000000000000001</v>
      </c>
      <c r="I72" s="188">
        <v>0</v>
      </c>
      <c r="J72" s="189"/>
      <c r="K72" s="188">
        <v>0</v>
      </c>
      <c r="L72" s="172">
        <v>1.1000000000000001</v>
      </c>
      <c r="M72" s="172"/>
      <c r="N72" s="172">
        <v>1.1000000000000001</v>
      </c>
      <c r="O72" s="178">
        <f t="shared" si="2"/>
        <v>1.1000000000000001</v>
      </c>
      <c r="P72" s="92">
        <f t="shared" si="3"/>
        <v>0</v>
      </c>
    </row>
    <row r="73" spans="1:16" ht="31.5" x14ac:dyDescent="0.2">
      <c r="A73" s="49"/>
      <c r="B73" s="190" t="s">
        <v>89</v>
      </c>
      <c r="C73" s="191" t="s">
        <v>90</v>
      </c>
      <c r="D73" s="192" t="s">
        <v>26</v>
      </c>
      <c r="E73" s="193"/>
      <c r="F73" s="194">
        <f t="shared" ref="F73:N74" si="13">F74</f>
        <v>2090.6</v>
      </c>
      <c r="G73" s="194">
        <f t="shared" si="13"/>
        <v>0</v>
      </c>
      <c r="H73" s="194">
        <f t="shared" si="13"/>
        <v>2090.6</v>
      </c>
      <c r="I73" s="195">
        <f t="shared" si="13"/>
        <v>0</v>
      </c>
      <c r="J73" s="194">
        <f t="shared" si="13"/>
        <v>0</v>
      </c>
      <c r="K73" s="195">
        <f t="shared" si="13"/>
        <v>0</v>
      </c>
      <c r="L73" s="194">
        <f t="shared" si="13"/>
        <v>2090.6</v>
      </c>
      <c r="M73" s="194">
        <f t="shared" si="13"/>
        <v>0</v>
      </c>
      <c r="N73" s="272">
        <f t="shared" si="13"/>
        <v>2090.6</v>
      </c>
      <c r="O73" s="178">
        <f t="shared" si="2"/>
        <v>2090.6</v>
      </c>
      <c r="P73" s="92">
        <f t="shared" si="3"/>
        <v>0</v>
      </c>
    </row>
    <row r="74" spans="1:16" ht="31.5" x14ac:dyDescent="0.2">
      <c r="A74" s="42"/>
      <c r="B74" s="168" t="s">
        <v>91</v>
      </c>
      <c r="C74" s="169" t="s">
        <v>92</v>
      </c>
      <c r="D74" s="170" t="s">
        <v>26</v>
      </c>
      <c r="E74" s="171"/>
      <c r="F74" s="172">
        <f t="shared" si="13"/>
        <v>2090.6</v>
      </c>
      <c r="G74" s="172">
        <f t="shared" si="13"/>
        <v>0</v>
      </c>
      <c r="H74" s="172">
        <f t="shared" si="13"/>
        <v>2090.6</v>
      </c>
      <c r="I74" s="188">
        <f t="shared" si="13"/>
        <v>0</v>
      </c>
      <c r="J74" s="189"/>
      <c r="K74" s="188">
        <f t="shared" si="13"/>
        <v>0</v>
      </c>
      <c r="L74" s="172">
        <f t="shared" si="13"/>
        <v>2090.6</v>
      </c>
      <c r="M74" s="172">
        <f t="shared" si="13"/>
        <v>0</v>
      </c>
      <c r="N74" s="172">
        <f t="shared" si="13"/>
        <v>2090.6</v>
      </c>
      <c r="O74" s="178">
        <f t="shared" si="2"/>
        <v>2090.6</v>
      </c>
      <c r="P74" s="92">
        <f t="shared" si="3"/>
        <v>0</v>
      </c>
    </row>
    <row r="75" spans="1:16" ht="31.5" x14ac:dyDescent="0.2">
      <c r="A75" s="42"/>
      <c r="B75" s="168" t="s">
        <v>93</v>
      </c>
      <c r="C75" s="169" t="s">
        <v>94</v>
      </c>
      <c r="D75" s="170" t="s">
        <v>26</v>
      </c>
      <c r="E75" s="171"/>
      <c r="F75" s="172">
        <f>F76+F77+F78</f>
        <v>2090.6</v>
      </c>
      <c r="G75" s="172">
        <f>G76+G77+G78</f>
        <v>0</v>
      </c>
      <c r="H75" s="172">
        <f>H76+H77+H78</f>
        <v>2090.6</v>
      </c>
      <c r="I75" s="188">
        <f>I76+I77</f>
        <v>0</v>
      </c>
      <c r="J75" s="189"/>
      <c r="K75" s="188">
        <f>K76+K77</f>
        <v>0</v>
      </c>
      <c r="L75" s="172">
        <f>L76+L77+L78</f>
        <v>2090.6</v>
      </c>
      <c r="M75" s="172">
        <f>M76+M77+M78</f>
        <v>0</v>
      </c>
      <c r="N75" s="172">
        <f>N76+N77+N78</f>
        <v>2090.6</v>
      </c>
      <c r="O75" s="178">
        <f t="shared" si="2"/>
        <v>2090.6</v>
      </c>
      <c r="P75" s="92">
        <f t="shared" si="3"/>
        <v>0</v>
      </c>
    </row>
    <row r="76" spans="1:16" ht="66" customHeight="1" x14ac:dyDescent="0.2">
      <c r="A76" s="42"/>
      <c r="B76" s="168" t="s">
        <v>31</v>
      </c>
      <c r="C76" s="169" t="s">
        <v>94</v>
      </c>
      <c r="D76" s="170" t="s">
        <v>32</v>
      </c>
      <c r="E76" s="171"/>
      <c r="F76" s="172">
        <v>2080.1</v>
      </c>
      <c r="G76" s="172"/>
      <c r="H76" s="172">
        <f>SUM(F76)+G76</f>
        <v>2080.1</v>
      </c>
      <c r="I76" s="188">
        <v>0</v>
      </c>
      <c r="J76" s="189"/>
      <c r="K76" s="188">
        <v>0</v>
      </c>
      <c r="L76" s="172">
        <f t="shared" ref="L76:N78" si="14">SUM(F76)</f>
        <v>2080.1</v>
      </c>
      <c r="M76" s="172">
        <f t="shared" si="14"/>
        <v>0</v>
      </c>
      <c r="N76" s="172">
        <f t="shared" si="14"/>
        <v>2080.1</v>
      </c>
      <c r="O76" s="178">
        <f t="shared" si="2"/>
        <v>2080.1</v>
      </c>
      <c r="P76" s="92">
        <f t="shared" si="3"/>
        <v>0</v>
      </c>
    </row>
    <row r="77" spans="1:16" ht="31.5" x14ac:dyDescent="0.2">
      <c r="A77" s="42"/>
      <c r="B77" s="168" t="s">
        <v>35</v>
      </c>
      <c r="C77" s="169" t="s">
        <v>94</v>
      </c>
      <c r="D77" s="170" t="s">
        <v>36</v>
      </c>
      <c r="E77" s="171"/>
      <c r="F77" s="172">
        <v>9.5</v>
      </c>
      <c r="G77" s="172"/>
      <c r="H77" s="172">
        <f>SUM(F77)</f>
        <v>9.5</v>
      </c>
      <c r="I77" s="188">
        <v>0</v>
      </c>
      <c r="J77" s="189"/>
      <c r="K77" s="188">
        <v>0</v>
      </c>
      <c r="L77" s="172">
        <f t="shared" si="14"/>
        <v>9.5</v>
      </c>
      <c r="M77" s="172">
        <f t="shared" si="14"/>
        <v>0</v>
      </c>
      <c r="N77" s="172">
        <f t="shared" si="14"/>
        <v>9.5</v>
      </c>
      <c r="O77" s="178">
        <f t="shared" si="2"/>
        <v>9.5</v>
      </c>
      <c r="P77" s="92">
        <f t="shared" si="3"/>
        <v>0</v>
      </c>
    </row>
    <row r="78" spans="1:16" ht="18.75" x14ac:dyDescent="0.2">
      <c r="A78" s="42"/>
      <c r="B78" s="168" t="s">
        <v>41</v>
      </c>
      <c r="C78" s="169" t="s">
        <v>94</v>
      </c>
      <c r="D78" s="170" t="s">
        <v>42</v>
      </c>
      <c r="E78" s="171"/>
      <c r="F78" s="172">
        <v>1</v>
      </c>
      <c r="G78" s="172"/>
      <c r="H78" s="172">
        <f>SUM(F78)+G78</f>
        <v>1</v>
      </c>
      <c r="I78" s="188"/>
      <c r="J78" s="189"/>
      <c r="K78" s="188"/>
      <c r="L78" s="172">
        <f t="shared" si="14"/>
        <v>1</v>
      </c>
      <c r="M78" s="172">
        <f t="shared" si="14"/>
        <v>0</v>
      </c>
      <c r="N78" s="172">
        <f t="shared" si="14"/>
        <v>1</v>
      </c>
      <c r="O78" s="178">
        <f t="shared" si="2"/>
        <v>1</v>
      </c>
      <c r="P78" s="92">
        <f t="shared" si="3"/>
        <v>0</v>
      </c>
    </row>
    <row r="79" spans="1:16" ht="31.5" x14ac:dyDescent="0.2">
      <c r="A79" s="19" t="s">
        <v>95</v>
      </c>
      <c r="B79" s="182" t="s">
        <v>96</v>
      </c>
      <c r="C79" s="183" t="s">
        <v>97</v>
      </c>
      <c r="D79" s="184" t="s">
        <v>26</v>
      </c>
      <c r="E79" s="185"/>
      <c r="F79" s="186">
        <f t="shared" ref="F79:N79" si="15">F80+F87</f>
        <v>68359.600000000006</v>
      </c>
      <c r="G79" s="186">
        <f t="shared" si="15"/>
        <v>389.1</v>
      </c>
      <c r="H79" s="186">
        <f t="shared" si="15"/>
        <v>68748.7</v>
      </c>
      <c r="I79" s="187">
        <f t="shared" si="15"/>
        <v>0</v>
      </c>
      <c r="J79" s="186">
        <f t="shared" si="15"/>
        <v>0</v>
      </c>
      <c r="K79" s="187">
        <f t="shared" si="15"/>
        <v>0</v>
      </c>
      <c r="L79" s="186">
        <f t="shared" si="15"/>
        <v>68359.600000000006</v>
      </c>
      <c r="M79" s="271">
        <f t="shared" si="15"/>
        <v>389.1</v>
      </c>
      <c r="N79" s="186">
        <f t="shared" si="15"/>
        <v>68748.7</v>
      </c>
      <c r="O79" s="178">
        <f t="shared" si="2"/>
        <v>68748.700000000012</v>
      </c>
      <c r="P79" s="92">
        <f t="shared" si="3"/>
        <v>0</v>
      </c>
    </row>
    <row r="80" spans="1:16" ht="31.5" x14ac:dyDescent="0.2">
      <c r="A80" s="49"/>
      <c r="B80" s="190" t="s">
        <v>98</v>
      </c>
      <c r="C80" s="191" t="s">
        <v>99</v>
      </c>
      <c r="D80" s="192" t="s">
        <v>26</v>
      </c>
      <c r="E80" s="193"/>
      <c r="F80" s="194">
        <f t="shared" ref="F80:N80" si="16">F81+F84</f>
        <v>68079.600000000006</v>
      </c>
      <c r="G80" s="194">
        <f t="shared" si="16"/>
        <v>139.1</v>
      </c>
      <c r="H80" s="194">
        <f t="shared" si="16"/>
        <v>68218.7</v>
      </c>
      <c r="I80" s="195">
        <f t="shared" si="16"/>
        <v>0</v>
      </c>
      <c r="J80" s="194">
        <f t="shared" si="16"/>
        <v>0</v>
      </c>
      <c r="K80" s="195">
        <f t="shared" si="16"/>
        <v>0</v>
      </c>
      <c r="L80" s="194">
        <f t="shared" si="16"/>
        <v>68079.600000000006</v>
      </c>
      <c r="M80" s="194">
        <f t="shared" si="16"/>
        <v>139.1</v>
      </c>
      <c r="N80" s="194">
        <f t="shared" si="16"/>
        <v>68218.7</v>
      </c>
      <c r="O80" s="178">
        <f t="shared" si="2"/>
        <v>68218.700000000012</v>
      </c>
      <c r="P80" s="92">
        <f t="shared" si="3"/>
        <v>0</v>
      </c>
    </row>
    <row r="81" spans="1:17" ht="31.5" x14ac:dyDescent="0.2">
      <c r="A81" s="42"/>
      <c r="B81" s="168" t="s">
        <v>100</v>
      </c>
      <c r="C81" s="169" t="s">
        <v>101</v>
      </c>
      <c r="D81" s="170" t="s">
        <v>26</v>
      </c>
      <c r="E81" s="171"/>
      <c r="F81" s="172">
        <f t="shared" ref="F81:N82" si="17">F82</f>
        <v>63946</v>
      </c>
      <c r="G81" s="172">
        <f t="shared" si="17"/>
        <v>0</v>
      </c>
      <c r="H81" s="172">
        <f t="shared" si="17"/>
        <v>63946</v>
      </c>
      <c r="I81" s="188">
        <f t="shared" si="17"/>
        <v>0</v>
      </c>
      <c r="J81" s="189"/>
      <c r="K81" s="188">
        <f t="shared" si="17"/>
        <v>0</v>
      </c>
      <c r="L81" s="172">
        <f t="shared" si="17"/>
        <v>63946</v>
      </c>
      <c r="M81" s="172">
        <f t="shared" si="17"/>
        <v>0</v>
      </c>
      <c r="N81" s="172">
        <f t="shared" si="17"/>
        <v>63946</v>
      </c>
      <c r="O81" s="178">
        <f t="shared" ref="O81:O144" si="18">L81+M81</f>
        <v>63946</v>
      </c>
      <c r="P81" s="92">
        <f t="shared" ref="P81:P144" si="19">O81-N81</f>
        <v>0</v>
      </c>
    </row>
    <row r="82" spans="1:17" ht="18.75" x14ac:dyDescent="0.2">
      <c r="A82" s="42"/>
      <c r="B82" s="168" t="s">
        <v>102</v>
      </c>
      <c r="C82" s="169" t="s">
        <v>103</v>
      </c>
      <c r="D82" s="170" t="s">
        <v>26</v>
      </c>
      <c r="E82" s="171"/>
      <c r="F82" s="172">
        <f t="shared" si="17"/>
        <v>63946</v>
      </c>
      <c r="G82" s="172">
        <f t="shared" si="17"/>
        <v>0</v>
      </c>
      <c r="H82" s="172">
        <f t="shared" si="17"/>
        <v>63946</v>
      </c>
      <c r="I82" s="188">
        <f t="shared" si="17"/>
        <v>0</v>
      </c>
      <c r="J82" s="189"/>
      <c r="K82" s="188">
        <f t="shared" si="17"/>
        <v>0</v>
      </c>
      <c r="L82" s="172">
        <f t="shared" si="17"/>
        <v>63946</v>
      </c>
      <c r="M82" s="172">
        <f t="shared" si="17"/>
        <v>0</v>
      </c>
      <c r="N82" s="172">
        <f t="shared" si="17"/>
        <v>63946</v>
      </c>
      <c r="O82" s="178">
        <f t="shared" si="18"/>
        <v>63946</v>
      </c>
      <c r="P82" s="92">
        <f t="shared" si="19"/>
        <v>0</v>
      </c>
    </row>
    <row r="83" spans="1:17" ht="18.75" x14ac:dyDescent="0.2">
      <c r="A83" s="42"/>
      <c r="B83" s="168" t="s">
        <v>54</v>
      </c>
      <c r="C83" s="169" t="s">
        <v>103</v>
      </c>
      <c r="D83" s="170" t="s">
        <v>55</v>
      </c>
      <c r="E83" s="171"/>
      <c r="F83" s="172">
        <v>63946</v>
      </c>
      <c r="G83" s="172"/>
      <c r="H83" s="172">
        <f>SUM(F83)+G83</f>
        <v>63946</v>
      </c>
      <c r="I83" s="188">
        <v>0</v>
      </c>
      <c r="J83" s="189"/>
      <c r="K83" s="188">
        <v>0</v>
      </c>
      <c r="L83" s="172">
        <f>SUM(F83)</f>
        <v>63946</v>
      </c>
      <c r="M83" s="172">
        <f>SUM(G83)</f>
        <v>0</v>
      </c>
      <c r="N83" s="172">
        <f>SUM(H83)</f>
        <v>63946</v>
      </c>
      <c r="O83" s="178">
        <f t="shared" si="18"/>
        <v>63946</v>
      </c>
      <c r="P83" s="92">
        <f t="shared" si="19"/>
        <v>0</v>
      </c>
    </row>
    <row r="84" spans="1:17" ht="36" customHeight="1" x14ac:dyDescent="0.2">
      <c r="A84" s="42"/>
      <c r="B84" s="168" t="s">
        <v>104</v>
      </c>
      <c r="C84" s="169" t="s">
        <v>105</v>
      </c>
      <c r="D84" s="170" t="s">
        <v>26</v>
      </c>
      <c r="E84" s="171"/>
      <c r="F84" s="172">
        <f t="shared" ref="F84:N85" si="20">F85</f>
        <v>4133.6000000000004</v>
      </c>
      <c r="G84" s="172">
        <f t="shared" si="20"/>
        <v>139.1</v>
      </c>
      <c r="H84" s="172">
        <f t="shared" si="20"/>
        <v>4272.7000000000007</v>
      </c>
      <c r="I84" s="188">
        <f t="shared" si="20"/>
        <v>0</v>
      </c>
      <c r="J84" s="189"/>
      <c r="K84" s="188">
        <f t="shared" si="20"/>
        <v>0</v>
      </c>
      <c r="L84" s="172">
        <f t="shared" si="20"/>
        <v>4133.6000000000004</v>
      </c>
      <c r="M84" s="172">
        <f t="shared" si="20"/>
        <v>139.1</v>
      </c>
      <c r="N84" s="172">
        <f t="shared" si="20"/>
        <v>4272.7000000000007</v>
      </c>
      <c r="O84" s="178">
        <f t="shared" si="18"/>
        <v>4272.7000000000007</v>
      </c>
      <c r="P84" s="92">
        <f t="shared" si="19"/>
        <v>0</v>
      </c>
    </row>
    <row r="85" spans="1:17" ht="31.5" x14ac:dyDescent="0.2">
      <c r="A85" s="42"/>
      <c r="B85" s="168" t="s">
        <v>106</v>
      </c>
      <c r="C85" s="169" t="s">
        <v>107</v>
      </c>
      <c r="D85" s="170" t="s">
        <v>26</v>
      </c>
      <c r="E85" s="171"/>
      <c r="F85" s="172">
        <f t="shared" si="20"/>
        <v>4133.6000000000004</v>
      </c>
      <c r="G85" s="172">
        <f t="shared" si="20"/>
        <v>139.1</v>
      </c>
      <c r="H85" s="172">
        <f t="shared" si="20"/>
        <v>4272.7000000000007</v>
      </c>
      <c r="I85" s="188">
        <f t="shared" si="20"/>
        <v>0</v>
      </c>
      <c r="J85" s="189"/>
      <c r="K85" s="188">
        <f t="shared" si="20"/>
        <v>0</v>
      </c>
      <c r="L85" s="172">
        <f t="shared" si="20"/>
        <v>4133.6000000000004</v>
      </c>
      <c r="M85" s="172">
        <f t="shared" si="20"/>
        <v>139.1</v>
      </c>
      <c r="N85" s="172">
        <f t="shared" si="20"/>
        <v>4272.7000000000007</v>
      </c>
      <c r="O85" s="178">
        <f t="shared" si="18"/>
        <v>4272.7000000000007</v>
      </c>
      <c r="P85" s="92">
        <f t="shared" si="19"/>
        <v>0</v>
      </c>
    </row>
    <row r="86" spans="1:17" ht="18.75" x14ac:dyDescent="0.2">
      <c r="A86" s="42"/>
      <c r="B86" s="168" t="s">
        <v>54</v>
      </c>
      <c r="C86" s="169" t="s">
        <v>107</v>
      </c>
      <c r="D86" s="170" t="s">
        <v>55</v>
      </c>
      <c r="E86" s="171"/>
      <c r="F86" s="172">
        <v>4133.6000000000004</v>
      </c>
      <c r="G86" s="172">
        <v>139.1</v>
      </c>
      <c r="H86" s="172">
        <f>F86+G86</f>
        <v>4272.7000000000007</v>
      </c>
      <c r="I86" s="188">
        <v>0</v>
      </c>
      <c r="J86" s="189"/>
      <c r="K86" s="188">
        <v>0</v>
      </c>
      <c r="L86" s="172">
        <f>SUM(F86)</f>
        <v>4133.6000000000004</v>
      </c>
      <c r="M86" s="172">
        <f>G86+J86</f>
        <v>139.1</v>
      </c>
      <c r="N86" s="172">
        <f>SUM(L86:M86)</f>
        <v>4272.7000000000007</v>
      </c>
      <c r="O86" s="178">
        <f t="shared" si="18"/>
        <v>4272.7000000000007</v>
      </c>
      <c r="P86" s="92">
        <f t="shared" si="19"/>
        <v>0</v>
      </c>
    </row>
    <row r="87" spans="1:17" ht="37.9" customHeight="1" x14ac:dyDescent="0.2">
      <c r="A87" s="49"/>
      <c r="B87" s="190" t="s">
        <v>108</v>
      </c>
      <c r="C87" s="191" t="s">
        <v>109</v>
      </c>
      <c r="D87" s="192" t="s">
        <v>26</v>
      </c>
      <c r="E87" s="193"/>
      <c r="F87" s="194">
        <f t="shared" ref="F87:N89" si="21">F88</f>
        <v>280</v>
      </c>
      <c r="G87" s="194">
        <f t="shared" si="21"/>
        <v>250</v>
      </c>
      <c r="H87" s="194">
        <f t="shared" si="21"/>
        <v>530</v>
      </c>
      <c r="I87" s="195">
        <f t="shared" si="21"/>
        <v>0</v>
      </c>
      <c r="J87" s="194">
        <f>J88</f>
        <v>0</v>
      </c>
      <c r="K87" s="195">
        <f t="shared" si="21"/>
        <v>0</v>
      </c>
      <c r="L87" s="194">
        <f t="shared" si="21"/>
        <v>280</v>
      </c>
      <c r="M87" s="272">
        <f t="shared" si="21"/>
        <v>250</v>
      </c>
      <c r="N87" s="272">
        <f t="shared" si="21"/>
        <v>530</v>
      </c>
      <c r="O87" s="178">
        <f t="shared" si="18"/>
        <v>530</v>
      </c>
      <c r="P87" s="92">
        <f t="shared" si="19"/>
        <v>0</v>
      </c>
    </row>
    <row r="88" spans="1:17" ht="64.150000000000006" customHeight="1" x14ac:dyDescent="0.2">
      <c r="A88" s="42"/>
      <c r="B88" s="168" t="s">
        <v>110</v>
      </c>
      <c r="C88" s="169" t="s">
        <v>111</v>
      </c>
      <c r="D88" s="170" t="s">
        <v>26</v>
      </c>
      <c r="E88" s="171"/>
      <c r="F88" s="172">
        <f t="shared" si="21"/>
        <v>280</v>
      </c>
      <c r="G88" s="172">
        <f t="shared" si="21"/>
        <v>250</v>
      </c>
      <c r="H88" s="172">
        <f t="shared" si="21"/>
        <v>530</v>
      </c>
      <c r="I88" s="188">
        <f t="shared" si="21"/>
        <v>0</v>
      </c>
      <c r="J88" s="189"/>
      <c r="K88" s="188">
        <f t="shared" si="21"/>
        <v>0</v>
      </c>
      <c r="L88" s="172">
        <f t="shared" si="21"/>
        <v>280</v>
      </c>
      <c r="M88" s="172">
        <f t="shared" si="21"/>
        <v>250</v>
      </c>
      <c r="N88" s="172">
        <f t="shared" si="21"/>
        <v>530</v>
      </c>
      <c r="O88" s="178">
        <f t="shared" si="18"/>
        <v>530</v>
      </c>
      <c r="P88" s="92">
        <f t="shared" si="19"/>
        <v>0</v>
      </c>
    </row>
    <row r="89" spans="1:17" ht="36.6" customHeight="1" x14ac:dyDescent="0.2">
      <c r="A89" s="42"/>
      <c r="B89" s="168" t="s">
        <v>112</v>
      </c>
      <c r="C89" s="169" t="s">
        <v>113</v>
      </c>
      <c r="D89" s="170" t="s">
        <v>26</v>
      </c>
      <c r="E89" s="171"/>
      <c r="F89" s="172">
        <f t="shared" si="21"/>
        <v>280</v>
      </c>
      <c r="G89" s="172">
        <f t="shared" si="21"/>
        <v>250</v>
      </c>
      <c r="H89" s="172">
        <f t="shared" si="21"/>
        <v>530</v>
      </c>
      <c r="I89" s="188">
        <f t="shared" si="21"/>
        <v>0</v>
      </c>
      <c r="J89" s="189"/>
      <c r="K89" s="188">
        <f t="shared" si="21"/>
        <v>0</v>
      </c>
      <c r="L89" s="172">
        <f t="shared" si="21"/>
        <v>280</v>
      </c>
      <c r="M89" s="172">
        <f t="shared" si="21"/>
        <v>250</v>
      </c>
      <c r="N89" s="172">
        <f t="shared" si="21"/>
        <v>530</v>
      </c>
      <c r="O89" s="178">
        <f t="shared" si="18"/>
        <v>530</v>
      </c>
      <c r="P89" s="92">
        <f t="shared" si="19"/>
        <v>0</v>
      </c>
    </row>
    <row r="90" spans="1:17" ht="31.5" x14ac:dyDescent="0.2">
      <c r="A90" s="42"/>
      <c r="B90" s="168" t="s">
        <v>74</v>
      </c>
      <c r="C90" s="169" t="s">
        <v>113</v>
      </c>
      <c r="D90" s="170" t="s">
        <v>75</v>
      </c>
      <c r="E90" s="171"/>
      <c r="F90" s="172">
        <v>280</v>
      </c>
      <c r="G90" s="172">
        <v>250</v>
      </c>
      <c r="H90" s="172">
        <f>F90+G90</f>
        <v>530</v>
      </c>
      <c r="I90" s="188">
        <v>0</v>
      </c>
      <c r="J90" s="189"/>
      <c r="K90" s="188">
        <v>0</v>
      </c>
      <c r="L90" s="172">
        <v>280</v>
      </c>
      <c r="M90" s="172">
        <f>G90+J90</f>
        <v>250</v>
      </c>
      <c r="N90" s="172">
        <f>H90+K90</f>
        <v>530</v>
      </c>
      <c r="O90" s="178">
        <f t="shared" si="18"/>
        <v>530</v>
      </c>
      <c r="P90" s="92">
        <f t="shared" si="19"/>
        <v>0</v>
      </c>
    </row>
    <row r="91" spans="1:17" ht="47.25" x14ac:dyDescent="0.2">
      <c r="A91" s="19" t="s">
        <v>114</v>
      </c>
      <c r="B91" s="182" t="s">
        <v>115</v>
      </c>
      <c r="C91" s="183" t="s">
        <v>116</v>
      </c>
      <c r="D91" s="184" t="s">
        <v>26</v>
      </c>
      <c r="E91" s="185"/>
      <c r="F91" s="186">
        <f t="shared" ref="F91:K91" si="22">F92+F102+F114</f>
        <v>36755.599999999999</v>
      </c>
      <c r="G91" s="186">
        <f>G92+G102+G114</f>
        <v>1206.2</v>
      </c>
      <c r="H91" s="186">
        <f>H92+H102+H114+H131</f>
        <v>37961.800000000003</v>
      </c>
      <c r="I91" s="187">
        <f t="shared" si="22"/>
        <v>57252.9</v>
      </c>
      <c r="J91" s="271">
        <f>J92+J102+J114</f>
        <v>10000</v>
      </c>
      <c r="K91" s="187">
        <f t="shared" si="22"/>
        <v>67252.899999999994</v>
      </c>
      <c r="L91" s="186">
        <f>L92+L102+L114</f>
        <v>94008.5</v>
      </c>
      <c r="M91" s="186">
        <f>M92+M102+M114+M131</f>
        <v>11206.199999999999</v>
      </c>
      <c r="N91" s="186">
        <f>SUM(N92+N102+N114)+N131</f>
        <v>105214.70000000001</v>
      </c>
      <c r="O91" s="178">
        <f t="shared" si="18"/>
        <v>105214.7</v>
      </c>
      <c r="P91" s="92">
        <f t="shared" si="19"/>
        <v>0</v>
      </c>
      <c r="Q91" s="25"/>
    </row>
    <row r="92" spans="1:17" ht="33.6" customHeight="1" x14ac:dyDescent="0.2">
      <c r="A92" s="49"/>
      <c r="B92" s="190" t="s">
        <v>117</v>
      </c>
      <c r="C92" s="191" t="s">
        <v>118</v>
      </c>
      <c r="D92" s="192" t="s">
        <v>26</v>
      </c>
      <c r="E92" s="193"/>
      <c r="F92" s="194">
        <f t="shared" ref="F92:N92" si="23">F93</f>
        <v>1449.1000000000001</v>
      </c>
      <c r="G92" s="194">
        <f t="shared" si="23"/>
        <v>0</v>
      </c>
      <c r="H92" s="194">
        <f t="shared" si="23"/>
        <v>1449.1000000000001</v>
      </c>
      <c r="I92" s="195">
        <f t="shared" si="23"/>
        <v>13560.400000000001</v>
      </c>
      <c r="J92" s="194">
        <f t="shared" si="23"/>
        <v>0</v>
      </c>
      <c r="K92" s="195">
        <f t="shared" si="23"/>
        <v>13560.400000000001</v>
      </c>
      <c r="L92" s="194">
        <f t="shared" si="23"/>
        <v>15009.5</v>
      </c>
      <c r="M92" s="194">
        <f t="shared" si="23"/>
        <v>0</v>
      </c>
      <c r="N92" s="194">
        <f t="shared" si="23"/>
        <v>15009.5</v>
      </c>
      <c r="O92" s="178">
        <f t="shared" si="18"/>
        <v>15009.5</v>
      </c>
      <c r="P92" s="92">
        <f t="shared" si="19"/>
        <v>0</v>
      </c>
    </row>
    <row r="93" spans="1:17" ht="47.25" x14ac:dyDescent="0.2">
      <c r="A93" s="42"/>
      <c r="B93" s="168" t="s">
        <v>119</v>
      </c>
      <c r="C93" s="169" t="s">
        <v>120</v>
      </c>
      <c r="D93" s="170" t="s">
        <v>26</v>
      </c>
      <c r="E93" s="171"/>
      <c r="F93" s="172">
        <f>F100+F94+F96+F98</f>
        <v>1449.1000000000001</v>
      </c>
      <c r="G93" s="172">
        <f>G100+G94+G96+G98</f>
        <v>0</v>
      </c>
      <c r="H93" s="172">
        <f>H100+H94+H96+H98</f>
        <v>1449.1000000000001</v>
      </c>
      <c r="I93" s="188">
        <f>I100+I96+I98</f>
        <v>13560.400000000001</v>
      </c>
      <c r="J93" s="172">
        <f>J100+J94+J96</f>
        <v>0</v>
      </c>
      <c r="K93" s="188">
        <f>K100+K96+K98</f>
        <v>13560.400000000001</v>
      </c>
      <c r="L93" s="172">
        <f>L100+L94+L96+L98</f>
        <v>15009.5</v>
      </c>
      <c r="M93" s="172">
        <f>M100+M94+M96+M98</f>
        <v>0</v>
      </c>
      <c r="N93" s="172">
        <f>N100+N94+N96+N98</f>
        <v>15009.5</v>
      </c>
      <c r="O93" s="178">
        <f t="shared" si="18"/>
        <v>15009.5</v>
      </c>
      <c r="P93" s="92">
        <f t="shared" si="19"/>
        <v>0</v>
      </c>
    </row>
    <row r="94" spans="1:17" ht="31.5" x14ac:dyDescent="0.2">
      <c r="A94" s="42"/>
      <c r="B94" s="198" t="s">
        <v>121</v>
      </c>
      <c r="C94" s="169" t="s">
        <v>122</v>
      </c>
      <c r="D94" s="170"/>
      <c r="E94" s="171"/>
      <c r="F94" s="172">
        <v>735.3</v>
      </c>
      <c r="G94" s="172"/>
      <c r="H94" s="172">
        <f>SUM(F94)</f>
        <v>735.3</v>
      </c>
      <c r="I94" s="188"/>
      <c r="J94" s="189"/>
      <c r="K94" s="188"/>
      <c r="L94" s="172">
        <f t="shared" ref="L94:N95" si="24">SUM(F94)</f>
        <v>735.3</v>
      </c>
      <c r="M94" s="172">
        <f t="shared" si="24"/>
        <v>0</v>
      </c>
      <c r="N94" s="172">
        <f t="shared" si="24"/>
        <v>735.3</v>
      </c>
      <c r="O94" s="178">
        <f t="shared" si="18"/>
        <v>735.3</v>
      </c>
      <c r="P94" s="92">
        <f t="shared" si="19"/>
        <v>0</v>
      </c>
    </row>
    <row r="95" spans="1:17" ht="31.5" x14ac:dyDescent="0.2">
      <c r="A95" s="42"/>
      <c r="B95" s="168" t="s">
        <v>35</v>
      </c>
      <c r="C95" s="169" t="s">
        <v>122</v>
      </c>
      <c r="D95" s="170" t="s">
        <v>36</v>
      </c>
      <c r="E95" s="171"/>
      <c r="F95" s="172">
        <v>735.3</v>
      </c>
      <c r="G95" s="172"/>
      <c r="H95" s="172">
        <f>SUM(F95)</f>
        <v>735.3</v>
      </c>
      <c r="I95" s="188"/>
      <c r="J95" s="189"/>
      <c r="K95" s="188"/>
      <c r="L95" s="172">
        <f t="shared" si="24"/>
        <v>735.3</v>
      </c>
      <c r="M95" s="172">
        <f t="shared" si="24"/>
        <v>0</v>
      </c>
      <c r="N95" s="172">
        <f t="shared" si="24"/>
        <v>735.3</v>
      </c>
      <c r="O95" s="178">
        <f t="shared" si="18"/>
        <v>735.3</v>
      </c>
      <c r="P95" s="92">
        <f t="shared" si="19"/>
        <v>0</v>
      </c>
    </row>
    <row r="96" spans="1:17" ht="63" hidden="1" x14ac:dyDescent="0.2">
      <c r="A96" s="42"/>
      <c r="B96" s="197" t="s">
        <v>450</v>
      </c>
      <c r="C96" s="169" t="s">
        <v>449</v>
      </c>
      <c r="D96" s="170"/>
      <c r="E96" s="171"/>
      <c r="F96" s="172">
        <f>SUM(F97)</f>
        <v>0</v>
      </c>
      <c r="G96" s="172"/>
      <c r="H96" s="172">
        <f>SUM(F96+G96)</f>
        <v>0</v>
      </c>
      <c r="I96" s="188">
        <f>SUM(I97)</f>
        <v>0</v>
      </c>
      <c r="J96" s="189"/>
      <c r="K96" s="188">
        <f>SUM(K97)</f>
        <v>0</v>
      </c>
      <c r="L96" s="172">
        <f>SUM(F96+I96)</f>
        <v>0</v>
      </c>
      <c r="M96" s="172">
        <f t="shared" ref="M96:N99" si="25">SUM(G96)+J96</f>
        <v>0</v>
      </c>
      <c r="N96" s="172">
        <f t="shared" si="25"/>
        <v>0</v>
      </c>
      <c r="O96" s="178">
        <f t="shared" si="18"/>
        <v>0</v>
      </c>
      <c r="P96" s="92">
        <f t="shared" si="19"/>
        <v>0</v>
      </c>
    </row>
    <row r="97" spans="1:16" ht="31.5" hidden="1" x14ac:dyDescent="0.2">
      <c r="A97" s="42"/>
      <c r="B97" s="168" t="s">
        <v>35</v>
      </c>
      <c r="C97" s="169" t="s">
        <v>449</v>
      </c>
      <c r="D97" s="170" t="s">
        <v>36</v>
      </c>
      <c r="E97" s="171"/>
      <c r="F97" s="172">
        <v>0</v>
      </c>
      <c r="G97" s="172"/>
      <c r="H97" s="172">
        <f>SUM(F97+G97)</f>
        <v>0</v>
      </c>
      <c r="I97" s="188">
        <v>0</v>
      </c>
      <c r="J97" s="189"/>
      <c r="K97" s="188">
        <v>0</v>
      </c>
      <c r="L97" s="172">
        <f>SUM(F97+I97)</f>
        <v>0</v>
      </c>
      <c r="M97" s="172">
        <f t="shared" si="25"/>
        <v>0</v>
      </c>
      <c r="N97" s="172">
        <f t="shared" si="25"/>
        <v>0</v>
      </c>
      <c r="O97" s="178">
        <f t="shared" si="18"/>
        <v>0</v>
      </c>
      <c r="P97" s="92">
        <f t="shared" si="19"/>
        <v>0</v>
      </c>
    </row>
    <row r="98" spans="1:16" ht="63" x14ac:dyDescent="0.2">
      <c r="A98" s="42"/>
      <c r="B98" s="197" t="s">
        <v>450</v>
      </c>
      <c r="C98" s="199" t="s">
        <v>459</v>
      </c>
      <c r="D98" s="170"/>
      <c r="E98" s="171"/>
      <c r="F98" s="172">
        <f>SUM(F99)</f>
        <v>294.2</v>
      </c>
      <c r="G98" s="172"/>
      <c r="H98" s="172">
        <f>SUM(H99)</f>
        <v>294.2</v>
      </c>
      <c r="I98" s="188">
        <v>5589.3</v>
      </c>
      <c r="J98" s="189"/>
      <c r="K98" s="189">
        <v>5589.3</v>
      </c>
      <c r="L98" s="172">
        <f>SUM(F98+I98)</f>
        <v>5883.5</v>
      </c>
      <c r="M98" s="172">
        <f t="shared" si="25"/>
        <v>0</v>
      </c>
      <c r="N98" s="172">
        <f>SUM(H98+K98)</f>
        <v>5883.5</v>
      </c>
      <c r="O98" s="178">
        <f t="shared" si="18"/>
        <v>5883.5</v>
      </c>
      <c r="P98" s="92">
        <f t="shared" si="19"/>
        <v>0</v>
      </c>
    </row>
    <row r="99" spans="1:16" ht="31.5" x14ac:dyDescent="0.2">
      <c r="A99" s="42"/>
      <c r="B99" s="168" t="s">
        <v>35</v>
      </c>
      <c r="C99" s="199" t="s">
        <v>459</v>
      </c>
      <c r="D99" s="170" t="s">
        <v>36</v>
      </c>
      <c r="E99" s="171"/>
      <c r="F99" s="172">
        <v>294.2</v>
      </c>
      <c r="G99" s="172"/>
      <c r="H99" s="172">
        <v>294.2</v>
      </c>
      <c r="I99" s="188">
        <v>5589.3</v>
      </c>
      <c r="J99" s="189"/>
      <c r="K99" s="189">
        <v>5589.3</v>
      </c>
      <c r="L99" s="172">
        <f>SUM(F99+I99)</f>
        <v>5883.5</v>
      </c>
      <c r="M99" s="172">
        <f t="shared" si="25"/>
        <v>0</v>
      </c>
      <c r="N99" s="172">
        <f t="shared" si="25"/>
        <v>5883.5</v>
      </c>
      <c r="O99" s="178">
        <f t="shared" si="18"/>
        <v>5883.5</v>
      </c>
      <c r="P99" s="92">
        <f t="shared" si="19"/>
        <v>0</v>
      </c>
    </row>
    <row r="100" spans="1:16" ht="36.6" customHeight="1" x14ac:dyDescent="0.2">
      <c r="A100" s="42"/>
      <c r="B100" s="168" t="s">
        <v>123</v>
      </c>
      <c r="C100" s="169" t="s">
        <v>124</v>
      </c>
      <c r="D100" s="170" t="s">
        <v>26</v>
      </c>
      <c r="E100" s="171"/>
      <c r="F100" s="172">
        <f t="shared" ref="F100:N100" si="26">F101</f>
        <v>419.6</v>
      </c>
      <c r="G100" s="172">
        <f t="shared" si="26"/>
        <v>0</v>
      </c>
      <c r="H100" s="172">
        <f t="shared" si="26"/>
        <v>419.6</v>
      </c>
      <c r="I100" s="188">
        <f t="shared" si="26"/>
        <v>7971.1</v>
      </c>
      <c r="J100" s="188">
        <f t="shared" si="26"/>
        <v>0</v>
      </c>
      <c r="K100" s="188">
        <f t="shared" si="26"/>
        <v>7971.1</v>
      </c>
      <c r="L100" s="172">
        <f t="shared" si="26"/>
        <v>8390.7000000000007</v>
      </c>
      <c r="M100" s="172">
        <f t="shared" si="26"/>
        <v>0</v>
      </c>
      <c r="N100" s="172">
        <f t="shared" si="26"/>
        <v>8390.7000000000007</v>
      </c>
      <c r="O100" s="178">
        <f t="shared" si="18"/>
        <v>8390.7000000000007</v>
      </c>
      <c r="P100" s="92">
        <f t="shared" si="19"/>
        <v>0</v>
      </c>
    </row>
    <row r="101" spans="1:16" ht="31.5" x14ac:dyDescent="0.2">
      <c r="A101" s="42"/>
      <c r="B101" s="168" t="s">
        <v>35</v>
      </c>
      <c r="C101" s="169" t="s">
        <v>124</v>
      </c>
      <c r="D101" s="170" t="s">
        <v>36</v>
      </c>
      <c r="E101" s="171"/>
      <c r="F101" s="172">
        <v>419.6</v>
      </c>
      <c r="G101" s="172"/>
      <c r="H101" s="172">
        <f>419.6+G101</f>
        <v>419.6</v>
      </c>
      <c r="I101" s="188">
        <v>7971.1</v>
      </c>
      <c r="J101" s="189"/>
      <c r="K101" s="188">
        <f>7971.1+J101</f>
        <v>7971.1</v>
      </c>
      <c r="L101" s="172">
        <f>419.6+I101</f>
        <v>8390.7000000000007</v>
      </c>
      <c r="M101" s="172">
        <f>SUM(J101)</f>
        <v>0</v>
      </c>
      <c r="N101" s="172">
        <f>419.6+K101</f>
        <v>8390.7000000000007</v>
      </c>
      <c r="O101" s="178">
        <f t="shared" si="18"/>
        <v>8390.7000000000007</v>
      </c>
      <c r="P101" s="92">
        <f t="shared" si="19"/>
        <v>0</v>
      </c>
    </row>
    <row r="102" spans="1:16" ht="35.450000000000003" customHeight="1" x14ac:dyDescent="0.2">
      <c r="A102" s="49"/>
      <c r="B102" s="190" t="s">
        <v>125</v>
      </c>
      <c r="C102" s="191" t="s">
        <v>126</v>
      </c>
      <c r="D102" s="192" t="s">
        <v>26</v>
      </c>
      <c r="E102" s="193"/>
      <c r="F102" s="194">
        <f t="shared" ref="F102:N102" si="27">F103+F111</f>
        <v>17303.3</v>
      </c>
      <c r="G102" s="194">
        <f>G103+G111</f>
        <v>1040.3</v>
      </c>
      <c r="H102" s="194">
        <f>H103+H111</f>
        <v>18343.599999999999</v>
      </c>
      <c r="I102" s="195">
        <f t="shared" si="27"/>
        <v>43692.5</v>
      </c>
      <c r="J102" s="194">
        <f t="shared" si="27"/>
        <v>10000</v>
      </c>
      <c r="K102" s="195">
        <f t="shared" si="27"/>
        <v>53692.5</v>
      </c>
      <c r="L102" s="194">
        <f t="shared" si="27"/>
        <v>60995.8</v>
      </c>
      <c r="M102" s="194">
        <f t="shared" si="27"/>
        <v>11040.3</v>
      </c>
      <c r="N102" s="194">
        <f t="shared" si="27"/>
        <v>72036.100000000006</v>
      </c>
      <c r="O102" s="178">
        <f t="shared" si="18"/>
        <v>72036.100000000006</v>
      </c>
      <c r="P102" s="92">
        <f t="shared" si="19"/>
        <v>0</v>
      </c>
    </row>
    <row r="103" spans="1:16" ht="31.5" x14ac:dyDescent="0.2">
      <c r="A103" s="42"/>
      <c r="B103" s="168" t="s">
        <v>127</v>
      </c>
      <c r="C103" s="169" t="s">
        <v>128</v>
      </c>
      <c r="D103" s="170" t="s">
        <v>26</v>
      </c>
      <c r="E103" s="171"/>
      <c r="F103" s="188">
        <f>F104+F109+F107</f>
        <v>10070.299999999999</v>
      </c>
      <c r="G103" s="188">
        <f t="shared" ref="G103:N103" si="28">G104+G109+G107</f>
        <v>200</v>
      </c>
      <c r="H103" s="188">
        <f t="shared" si="28"/>
        <v>10270.299999999999</v>
      </c>
      <c r="I103" s="188">
        <f t="shared" si="28"/>
        <v>43692.5</v>
      </c>
      <c r="J103" s="188">
        <f t="shared" si="28"/>
        <v>10000</v>
      </c>
      <c r="K103" s="188">
        <f t="shared" si="28"/>
        <v>53692.5</v>
      </c>
      <c r="L103" s="188">
        <f t="shared" si="28"/>
        <v>53762.8</v>
      </c>
      <c r="M103" s="188">
        <f t="shared" si="28"/>
        <v>10200</v>
      </c>
      <c r="N103" s="188">
        <f t="shared" si="28"/>
        <v>63962.8</v>
      </c>
      <c r="O103" s="178">
        <f t="shared" si="18"/>
        <v>63962.8</v>
      </c>
      <c r="P103" s="92">
        <f t="shared" si="19"/>
        <v>0</v>
      </c>
    </row>
    <row r="104" spans="1:16" ht="49.15" customHeight="1" x14ac:dyDescent="0.2">
      <c r="A104" s="42"/>
      <c r="B104" s="168" t="s">
        <v>129</v>
      </c>
      <c r="C104" s="169" t="s">
        <v>130</v>
      </c>
      <c r="D104" s="170" t="s">
        <v>26</v>
      </c>
      <c r="E104" s="171"/>
      <c r="F104" s="172">
        <f>F105+F106</f>
        <v>10070.299999999999</v>
      </c>
      <c r="G104" s="172">
        <f>G105+G106</f>
        <v>200</v>
      </c>
      <c r="H104" s="172">
        <f>H105+H106</f>
        <v>10270.299999999999</v>
      </c>
      <c r="I104" s="188">
        <f>I105+I106</f>
        <v>17036</v>
      </c>
      <c r="J104" s="189">
        <f>SUM(J105+J106)</f>
        <v>10000</v>
      </c>
      <c r="K104" s="188">
        <f>K105+K106</f>
        <v>27036</v>
      </c>
      <c r="L104" s="172">
        <f>L105+L106</f>
        <v>27106.3</v>
      </c>
      <c r="M104" s="172">
        <f>M105+M106</f>
        <v>10200</v>
      </c>
      <c r="N104" s="172">
        <f>N105+N106</f>
        <v>37306.300000000003</v>
      </c>
      <c r="O104" s="178">
        <f t="shared" si="18"/>
        <v>37306.300000000003</v>
      </c>
      <c r="P104" s="92">
        <f t="shared" si="19"/>
        <v>0</v>
      </c>
    </row>
    <row r="105" spans="1:16" ht="31.5" x14ac:dyDescent="0.2">
      <c r="A105" s="42"/>
      <c r="B105" s="168" t="s">
        <v>35</v>
      </c>
      <c r="C105" s="169" t="s">
        <v>130</v>
      </c>
      <c r="D105" s="170" t="s">
        <v>36</v>
      </c>
      <c r="E105" s="171"/>
      <c r="F105" s="172">
        <v>9590.2999999999993</v>
      </c>
      <c r="G105" s="172">
        <f>200</f>
        <v>200</v>
      </c>
      <c r="H105" s="172">
        <f>SUM(F105)+G105</f>
        <v>9790.2999999999993</v>
      </c>
      <c r="I105" s="188">
        <v>0</v>
      </c>
      <c r="J105" s="189">
        <f>8000+2000</f>
        <v>10000</v>
      </c>
      <c r="K105" s="189">
        <f>SUM(J105)</f>
        <v>10000</v>
      </c>
      <c r="L105" s="172">
        <f>SUM(F105)</f>
        <v>9590.2999999999993</v>
      </c>
      <c r="M105" s="254">
        <f>G105+J105</f>
        <v>10200</v>
      </c>
      <c r="N105" s="172">
        <f>H105+K105</f>
        <v>19790.3</v>
      </c>
      <c r="O105" s="178">
        <f t="shared" si="18"/>
        <v>19790.3</v>
      </c>
      <c r="P105" s="92">
        <f t="shared" si="19"/>
        <v>0</v>
      </c>
    </row>
    <row r="106" spans="1:16" ht="31.5" x14ac:dyDescent="0.2">
      <c r="A106" s="42"/>
      <c r="B106" s="168" t="s">
        <v>131</v>
      </c>
      <c r="C106" s="169" t="s">
        <v>130</v>
      </c>
      <c r="D106" s="170" t="s">
        <v>132</v>
      </c>
      <c r="E106" s="171"/>
      <c r="F106" s="172">
        <v>480</v>
      </c>
      <c r="G106" s="172"/>
      <c r="H106" s="172">
        <f>SUM(F106:G106)</f>
        <v>480</v>
      </c>
      <c r="I106" s="188">
        <v>17036</v>
      </c>
      <c r="J106" s="172"/>
      <c r="K106" s="189">
        <f>SUM(I106)</f>
        <v>17036</v>
      </c>
      <c r="L106" s="172">
        <f>SUM(F106+I106)</f>
        <v>17516</v>
      </c>
      <c r="M106" s="172">
        <f>SUM(J106)+G106</f>
        <v>0</v>
      </c>
      <c r="N106" s="172">
        <f>SUM(H106+K106)</f>
        <v>17516</v>
      </c>
      <c r="O106" s="178">
        <f t="shared" si="18"/>
        <v>17516</v>
      </c>
      <c r="P106" s="92">
        <f t="shared" si="19"/>
        <v>0</v>
      </c>
    </row>
    <row r="107" spans="1:16" ht="78.75" x14ac:dyDescent="0.2">
      <c r="A107" s="42"/>
      <c r="B107" s="168" t="s">
        <v>133</v>
      </c>
      <c r="C107" s="169" t="s">
        <v>134</v>
      </c>
      <c r="D107" s="170"/>
      <c r="E107" s="171"/>
      <c r="F107" s="188">
        <f>F108</f>
        <v>0</v>
      </c>
      <c r="G107" s="188">
        <f t="shared" ref="G107:N107" si="29">G108</f>
        <v>0</v>
      </c>
      <c r="H107" s="188">
        <f t="shared" si="29"/>
        <v>0</v>
      </c>
      <c r="I107" s="188">
        <f t="shared" si="29"/>
        <v>26656.5</v>
      </c>
      <c r="J107" s="188">
        <f t="shared" si="29"/>
        <v>0</v>
      </c>
      <c r="K107" s="188">
        <f t="shared" si="29"/>
        <v>26656.5</v>
      </c>
      <c r="L107" s="188">
        <f t="shared" si="29"/>
        <v>26656.5</v>
      </c>
      <c r="M107" s="188">
        <f t="shared" si="29"/>
        <v>0</v>
      </c>
      <c r="N107" s="188">
        <f t="shared" si="29"/>
        <v>26656.5</v>
      </c>
      <c r="O107" s="178">
        <f t="shared" si="18"/>
        <v>26656.5</v>
      </c>
      <c r="P107" s="92">
        <f t="shared" si="19"/>
        <v>0</v>
      </c>
    </row>
    <row r="108" spans="1:16" ht="34.15" customHeight="1" x14ac:dyDescent="0.2">
      <c r="A108" s="42"/>
      <c r="B108" s="168" t="s">
        <v>35</v>
      </c>
      <c r="C108" s="169" t="s">
        <v>134</v>
      </c>
      <c r="D108" s="170" t="s">
        <v>36</v>
      </c>
      <c r="E108" s="171"/>
      <c r="F108" s="172"/>
      <c r="G108" s="172"/>
      <c r="H108" s="172"/>
      <c r="I108" s="188">
        <v>26656.5</v>
      </c>
      <c r="J108" s="189"/>
      <c r="K108" s="189">
        <f>SUM(I108:J108)</f>
        <v>26656.5</v>
      </c>
      <c r="L108" s="172">
        <f>F108+I108</f>
        <v>26656.5</v>
      </c>
      <c r="M108" s="172">
        <f>G108+J108</f>
        <v>0</v>
      </c>
      <c r="N108" s="172">
        <f>H108+K108</f>
        <v>26656.5</v>
      </c>
      <c r="O108" s="178">
        <f t="shared" si="18"/>
        <v>26656.5</v>
      </c>
      <c r="P108" s="92">
        <f t="shared" si="19"/>
        <v>0</v>
      </c>
    </row>
    <row r="109" spans="1:16" ht="63" x14ac:dyDescent="0.2">
      <c r="A109" s="42"/>
      <c r="B109" s="168" t="s">
        <v>135</v>
      </c>
      <c r="C109" s="169" t="s">
        <v>136</v>
      </c>
      <c r="D109" s="170" t="s">
        <v>26</v>
      </c>
      <c r="E109" s="171"/>
      <c r="F109" s="172">
        <f>F110</f>
        <v>0</v>
      </c>
      <c r="G109" s="172">
        <f>G110</f>
        <v>0</v>
      </c>
      <c r="H109" s="172">
        <f>H110</f>
        <v>0</v>
      </c>
      <c r="I109" s="188">
        <f>I110</f>
        <v>0</v>
      </c>
      <c r="J109" s="189"/>
      <c r="K109" s="188">
        <f>K110</f>
        <v>0</v>
      </c>
      <c r="L109" s="172">
        <f>L110</f>
        <v>0</v>
      </c>
      <c r="M109" s="172">
        <f>M110</f>
        <v>0</v>
      </c>
      <c r="N109" s="172">
        <f>N110</f>
        <v>0</v>
      </c>
      <c r="O109" s="178">
        <f t="shared" si="18"/>
        <v>0</v>
      </c>
      <c r="P109" s="92">
        <f t="shared" si="19"/>
        <v>0</v>
      </c>
    </row>
    <row r="110" spans="1:16" ht="31.5" x14ac:dyDescent="0.2">
      <c r="A110" s="42"/>
      <c r="B110" s="168" t="s">
        <v>35</v>
      </c>
      <c r="C110" s="169" t="s">
        <v>136</v>
      </c>
      <c r="D110" s="170" t="s">
        <v>36</v>
      </c>
      <c r="E110" s="171"/>
      <c r="F110" s="172">
        <v>0</v>
      </c>
      <c r="G110" s="172"/>
      <c r="H110" s="172">
        <v>0</v>
      </c>
      <c r="I110" s="188">
        <v>0</v>
      </c>
      <c r="J110" s="189"/>
      <c r="K110" s="188">
        <v>0</v>
      </c>
      <c r="L110" s="172">
        <f>SUM(F110)</f>
        <v>0</v>
      </c>
      <c r="M110" s="172">
        <f>SUM(G110)</f>
        <v>0</v>
      </c>
      <c r="N110" s="172">
        <f>SUM(H110)</f>
        <v>0</v>
      </c>
      <c r="O110" s="178">
        <f t="shared" si="18"/>
        <v>0</v>
      </c>
      <c r="P110" s="92">
        <f t="shared" si="19"/>
        <v>0</v>
      </c>
    </row>
    <row r="111" spans="1:16" ht="31.5" x14ac:dyDescent="0.2">
      <c r="A111" s="42"/>
      <c r="B111" s="168" t="s">
        <v>137</v>
      </c>
      <c r="C111" s="169" t="s">
        <v>138</v>
      </c>
      <c r="D111" s="170" t="s">
        <v>26</v>
      </c>
      <c r="E111" s="171"/>
      <c r="F111" s="172">
        <f t="shared" ref="F111:N112" si="30">F112</f>
        <v>7233</v>
      </c>
      <c r="G111" s="172">
        <f t="shared" si="30"/>
        <v>840.3</v>
      </c>
      <c r="H111" s="172">
        <f t="shared" si="30"/>
        <v>8073.3</v>
      </c>
      <c r="I111" s="188">
        <f t="shared" si="30"/>
        <v>0</v>
      </c>
      <c r="J111" s="189"/>
      <c r="K111" s="188">
        <f t="shared" si="30"/>
        <v>0</v>
      </c>
      <c r="L111" s="172">
        <f t="shared" si="30"/>
        <v>7233</v>
      </c>
      <c r="M111" s="172">
        <f t="shared" si="30"/>
        <v>840.3</v>
      </c>
      <c r="N111" s="172">
        <f t="shared" si="30"/>
        <v>8073.3</v>
      </c>
      <c r="O111" s="178">
        <f t="shared" si="18"/>
        <v>8073.3</v>
      </c>
      <c r="P111" s="92">
        <f t="shared" si="19"/>
        <v>0</v>
      </c>
    </row>
    <row r="112" spans="1:16" ht="63" x14ac:dyDescent="0.2">
      <c r="A112" s="42"/>
      <c r="B112" s="168" t="s">
        <v>135</v>
      </c>
      <c r="C112" s="169" t="s">
        <v>139</v>
      </c>
      <c r="D112" s="170" t="s">
        <v>26</v>
      </c>
      <c r="E112" s="171"/>
      <c r="F112" s="172">
        <f t="shared" si="30"/>
        <v>7233</v>
      </c>
      <c r="G112" s="172">
        <f t="shared" si="30"/>
        <v>840.3</v>
      </c>
      <c r="H112" s="172">
        <f t="shared" si="30"/>
        <v>8073.3</v>
      </c>
      <c r="I112" s="188">
        <f t="shared" si="30"/>
        <v>0</v>
      </c>
      <c r="J112" s="189"/>
      <c r="K112" s="188">
        <f t="shared" si="30"/>
        <v>0</v>
      </c>
      <c r="L112" s="172">
        <f t="shared" si="30"/>
        <v>7233</v>
      </c>
      <c r="M112" s="172">
        <f t="shared" si="30"/>
        <v>840.3</v>
      </c>
      <c r="N112" s="172">
        <f t="shared" si="30"/>
        <v>8073.3</v>
      </c>
      <c r="O112" s="178">
        <f t="shared" si="18"/>
        <v>8073.3</v>
      </c>
      <c r="P112" s="92">
        <f t="shared" si="19"/>
        <v>0</v>
      </c>
    </row>
    <row r="113" spans="1:17" ht="31.5" x14ac:dyDescent="0.2">
      <c r="A113" s="42"/>
      <c r="B113" s="168" t="s">
        <v>35</v>
      </c>
      <c r="C113" s="169" t="s">
        <v>139</v>
      </c>
      <c r="D113" s="170" t="s">
        <v>36</v>
      </c>
      <c r="E113" s="171"/>
      <c r="F113" s="172">
        <v>7233</v>
      </c>
      <c r="G113" s="172">
        <v>840.3</v>
      </c>
      <c r="H113" s="172">
        <f>F113+G113</f>
        <v>8073.3</v>
      </c>
      <c r="I113" s="188">
        <v>0</v>
      </c>
      <c r="J113" s="189"/>
      <c r="K113" s="188">
        <v>0</v>
      </c>
      <c r="L113" s="172">
        <f>SUM(F113)</f>
        <v>7233</v>
      </c>
      <c r="M113" s="172">
        <f>SUM(G113)</f>
        <v>840.3</v>
      </c>
      <c r="N113" s="172">
        <f>SUM(H113)</f>
        <v>8073.3</v>
      </c>
      <c r="O113" s="178">
        <f t="shared" si="18"/>
        <v>8073.3</v>
      </c>
      <c r="P113" s="92">
        <f t="shared" si="19"/>
        <v>0</v>
      </c>
    </row>
    <row r="114" spans="1:17" ht="18.75" x14ac:dyDescent="0.2">
      <c r="A114" s="49"/>
      <c r="B114" s="190" t="s">
        <v>140</v>
      </c>
      <c r="C114" s="191" t="s">
        <v>141</v>
      </c>
      <c r="D114" s="192" t="s">
        <v>26</v>
      </c>
      <c r="E114" s="193"/>
      <c r="F114" s="194">
        <f>F115+F124+F119+F127</f>
        <v>18003.2</v>
      </c>
      <c r="G114" s="172">
        <f>G115</f>
        <v>165.9</v>
      </c>
      <c r="H114" s="194">
        <f>H115+H124+H119+H127</f>
        <v>18169.100000000002</v>
      </c>
      <c r="I114" s="195">
        <f>I115+I124</f>
        <v>0</v>
      </c>
      <c r="J114" s="194">
        <f>J115+J124</f>
        <v>0</v>
      </c>
      <c r="K114" s="195">
        <f>K115+K124</f>
        <v>0</v>
      </c>
      <c r="L114" s="194">
        <f>L115+L124+L119+L127</f>
        <v>18003.2</v>
      </c>
      <c r="M114" s="194">
        <f>M115+M124+M119+M127+M122</f>
        <v>165.9</v>
      </c>
      <c r="N114" s="194">
        <f>N115+N124+N119+N127</f>
        <v>18169.100000000002</v>
      </c>
      <c r="O114" s="178">
        <f t="shared" si="18"/>
        <v>18169.100000000002</v>
      </c>
      <c r="P114" s="92">
        <f t="shared" si="19"/>
        <v>0</v>
      </c>
      <c r="Q114" s="55"/>
    </row>
    <row r="115" spans="1:17" ht="47.25" x14ac:dyDescent="0.2">
      <c r="A115" s="42"/>
      <c r="B115" s="168" t="s">
        <v>142</v>
      </c>
      <c r="C115" s="169" t="s">
        <v>143</v>
      </c>
      <c r="D115" s="170" t="s">
        <v>26</v>
      </c>
      <c r="E115" s="171"/>
      <c r="F115" s="172">
        <f>F116</f>
        <v>9124.6</v>
      </c>
      <c r="G115" s="172">
        <f>G116</f>
        <v>165.9</v>
      </c>
      <c r="H115" s="172">
        <f>H116</f>
        <v>9290.5</v>
      </c>
      <c r="I115" s="188">
        <f>I116</f>
        <v>0</v>
      </c>
      <c r="J115" s="189"/>
      <c r="K115" s="188">
        <f>K116</f>
        <v>0</v>
      </c>
      <c r="L115" s="172">
        <f>L116</f>
        <v>9124.6</v>
      </c>
      <c r="M115" s="172">
        <f>M116</f>
        <v>165.9</v>
      </c>
      <c r="N115" s="172">
        <f>N116</f>
        <v>9290.5</v>
      </c>
      <c r="O115" s="178">
        <f t="shared" si="18"/>
        <v>9290.5</v>
      </c>
      <c r="P115" s="92">
        <f t="shared" si="19"/>
        <v>0</v>
      </c>
    </row>
    <row r="116" spans="1:17" ht="31.5" x14ac:dyDescent="0.2">
      <c r="A116" s="42"/>
      <c r="B116" s="168" t="s">
        <v>39</v>
      </c>
      <c r="C116" s="169" t="s">
        <v>144</v>
      </c>
      <c r="D116" s="170" t="s">
        <v>26</v>
      </c>
      <c r="E116" s="171"/>
      <c r="F116" s="172">
        <f>F117+F118</f>
        <v>9124.6</v>
      </c>
      <c r="G116" s="172">
        <f>G117+G118</f>
        <v>165.9</v>
      </c>
      <c r="H116" s="172">
        <f>H117+H118</f>
        <v>9290.5</v>
      </c>
      <c r="I116" s="188">
        <f>I117+I118</f>
        <v>0</v>
      </c>
      <c r="J116" s="189"/>
      <c r="K116" s="188">
        <f>K117+K118</f>
        <v>0</v>
      </c>
      <c r="L116" s="172">
        <f>L117+L118</f>
        <v>9124.6</v>
      </c>
      <c r="M116" s="172">
        <f>M117+M118</f>
        <v>165.9</v>
      </c>
      <c r="N116" s="172">
        <f>N117+N118</f>
        <v>9290.5</v>
      </c>
      <c r="O116" s="178">
        <f t="shared" si="18"/>
        <v>9290.5</v>
      </c>
      <c r="P116" s="92">
        <f t="shared" si="19"/>
        <v>0</v>
      </c>
    </row>
    <row r="117" spans="1:17" ht="64.900000000000006" customHeight="1" x14ac:dyDescent="0.2">
      <c r="A117" s="42"/>
      <c r="B117" s="168" t="s">
        <v>31</v>
      </c>
      <c r="C117" s="169" t="s">
        <v>144</v>
      </c>
      <c r="D117" s="170" t="s">
        <v>32</v>
      </c>
      <c r="E117" s="171"/>
      <c r="F117" s="172">
        <v>8871.2000000000007</v>
      </c>
      <c r="G117" s="172"/>
      <c r="H117" s="172">
        <f>SUM(F117)</f>
        <v>8871.2000000000007</v>
      </c>
      <c r="I117" s="188">
        <v>0</v>
      </c>
      <c r="J117" s="189"/>
      <c r="K117" s="188">
        <v>0</v>
      </c>
      <c r="L117" s="172">
        <f>SUM(F117)</f>
        <v>8871.2000000000007</v>
      </c>
      <c r="M117" s="172">
        <f>SUM(G117)</f>
        <v>0</v>
      </c>
      <c r="N117" s="172">
        <f>SUM(H117)</f>
        <v>8871.2000000000007</v>
      </c>
      <c r="O117" s="178">
        <f t="shared" si="18"/>
        <v>8871.2000000000007</v>
      </c>
      <c r="P117" s="92">
        <f t="shared" si="19"/>
        <v>0</v>
      </c>
    </row>
    <row r="118" spans="1:17" ht="31.5" x14ac:dyDescent="0.2">
      <c r="A118" s="42"/>
      <c r="B118" s="168" t="s">
        <v>35</v>
      </c>
      <c r="C118" s="169" t="s">
        <v>144</v>
      </c>
      <c r="D118" s="170" t="s">
        <v>36</v>
      </c>
      <c r="E118" s="171"/>
      <c r="F118" s="172">
        <v>253.4</v>
      </c>
      <c r="G118" s="172">
        <v>165.9</v>
      </c>
      <c r="H118" s="172">
        <f>SUM(F118)+G118</f>
        <v>419.3</v>
      </c>
      <c r="I118" s="188">
        <v>0</v>
      </c>
      <c r="J118" s="189"/>
      <c r="K118" s="188">
        <v>0</v>
      </c>
      <c r="L118" s="172">
        <f t="shared" ref="L118:N122" si="31">SUM(F118)</f>
        <v>253.4</v>
      </c>
      <c r="M118" s="172">
        <f t="shared" si="31"/>
        <v>165.9</v>
      </c>
      <c r="N118" s="172">
        <f t="shared" si="31"/>
        <v>419.3</v>
      </c>
      <c r="O118" s="178">
        <f t="shared" si="18"/>
        <v>419.3</v>
      </c>
      <c r="P118" s="92">
        <f t="shared" si="19"/>
        <v>0</v>
      </c>
    </row>
    <row r="119" spans="1:17" ht="18.75" x14ac:dyDescent="0.2">
      <c r="A119" s="42"/>
      <c r="B119" s="168" t="s">
        <v>145</v>
      </c>
      <c r="C119" s="169" t="s">
        <v>146</v>
      </c>
      <c r="D119" s="170"/>
      <c r="E119" s="171"/>
      <c r="F119" s="172">
        <f>SUM(F121)</f>
        <v>896.4</v>
      </c>
      <c r="G119" s="172"/>
      <c r="H119" s="172">
        <f>SUM(H121)</f>
        <v>896.4</v>
      </c>
      <c r="I119" s="188"/>
      <c r="J119" s="189"/>
      <c r="K119" s="188"/>
      <c r="L119" s="172">
        <f t="shared" si="31"/>
        <v>896.4</v>
      </c>
      <c r="M119" s="172">
        <f t="shared" si="31"/>
        <v>0</v>
      </c>
      <c r="N119" s="172">
        <f t="shared" si="31"/>
        <v>896.4</v>
      </c>
      <c r="O119" s="178">
        <f t="shared" si="18"/>
        <v>896.4</v>
      </c>
      <c r="P119" s="92">
        <f t="shared" si="19"/>
        <v>0</v>
      </c>
    </row>
    <row r="120" spans="1:17" ht="18.75" x14ac:dyDescent="0.2">
      <c r="A120" s="42"/>
      <c r="B120" s="168" t="s">
        <v>147</v>
      </c>
      <c r="C120" s="169" t="s">
        <v>148</v>
      </c>
      <c r="D120" s="170"/>
      <c r="E120" s="171"/>
      <c r="F120" s="172">
        <v>896.4</v>
      </c>
      <c r="G120" s="172"/>
      <c r="H120" s="172">
        <f>SUM(F120)+G120</f>
        <v>896.4</v>
      </c>
      <c r="I120" s="188"/>
      <c r="J120" s="189"/>
      <c r="K120" s="188"/>
      <c r="L120" s="172">
        <f t="shared" si="31"/>
        <v>896.4</v>
      </c>
      <c r="M120" s="172">
        <f t="shared" si="31"/>
        <v>0</v>
      </c>
      <c r="N120" s="172">
        <f t="shared" si="31"/>
        <v>896.4</v>
      </c>
      <c r="O120" s="178">
        <f t="shared" si="18"/>
        <v>896.4</v>
      </c>
      <c r="P120" s="92">
        <f t="shared" si="19"/>
        <v>0</v>
      </c>
    </row>
    <row r="121" spans="1:17" ht="24" customHeight="1" x14ac:dyDescent="0.2">
      <c r="A121" s="42"/>
      <c r="B121" s="168" t="s">
        <v>35</v>
      </c>
      <c r="C121" s="169" t="s">
        <v>148</v>
      </c>
      <c r="D121" s="170" t="s">
        <v>36</v>
      </c>
      <c r="E121" s="171"/>
      <c r="F121" s="172">
        <v>896.4</v>
      </c>
      <c r="G121" s="172"/>
      <c r="H121" s="172">
        <f>SUM(F121)+G121</f>
        <v>896.4</v>
      </c>
      <c r="I121" s="188"/>
      <c r="J121" s="189"/>
      <c r="K121" s="188"/>
      <c r="L121" s="172">
        <f t="shared" si="31"/>
        <v>896.4</v>
      </c>
      <c r="M121" s="172">
        <f t="shared" si="31"/>
        <v>0</v>
      </c>
      <c r="N121" s="172">
        <f t="shared" si="31"/>
        <v>896.4</v>
      </c>
      <c r="O121" s="178">
        <f t="shared" si="18"/>
        <v>896.4</v>
      </c>
      <c r="P121" s="92">
        <f t="shared" si="19"/>
        <v>0</v>
      </c>
    </row>
    <row r="122" spans="1:17" ht="31.5" hidden="1" x14ac:dyDescent="0.2">
      <c r="A122" s="42"/>
      <c r="B122" s="168" t="s">
        <v>488</v>
      </c>
      <c r="C122" s="169" t="s">
        <v>487</v>
      </c>
      <c r="D122" s="170"/>
      <c r="E122" s="171"/>
      <c r="F122" s="172"/>
      <c r="G122" s="172"/>
      <c r="H122" s="172">
        <f>SUM(G122)</f>
        <v>0</v>
      </c>
      <c r="I122" s="188"/>
      <c r="J122" s="189"/>
      <c r="K122" s="188"/>
      <c r="L122" s="172"/>
      <c r="M122" s="172">
        <f>SUM(G122)</f>
        <v>0</v>
      </c>
      <c r="N122" s="172">
        <f t="shared" si="31"/>
        <v>0</v>
      </c>
      <c r="O122" s="178">
        <f t="shared" si="18"/>
        <v>0</v>
      </c>
      <c r="P122" s="92">
        <f t="shared" si="19"/>
        <v>0</v>
      </c>
    </row>
    <row r="123" spans="1:17" ht="31.5" hidden="1" x14ac:dyDescent="0.2">
      <c r="A123" s="42"/>
      <c r="B123" s="168" t="s">
        <v>131</v>
      </c>
      <c r="C123" s="169" t="s">
        <v>487</v>
      </c>
      <c r="D123" s="170" t="s">
        <v>132</v>
      </c>
      <c r="E123" s="171"/>
      <c r="F123" s="172"/>
      <c r="G123" s="172"/>
      <c r="H123" s="172">
        <f>SUM(G123)</f>
        <v>0</v>
      </c>
      <c r="I123" s="188"/>
      <c r="J123" s="189"/>
      <c r="K123" s="188"/>
      <c r="L123" s="172"/>
      <c r="M123" s="172">
        <f>SUM(G123)</f>
        <v>0</v>
      </c>
      <c r="N123" s="172">
        <f>SUM(H123)</f>
        <v>0</v>
      </c>
      <c r="O123" s="178">
        <f t="shared" si="18"/>
        <v>0</v>
      </c>
      <c r="P123" s="92">
        <f t="shared" si="19"/>
        <v>0</v>
      </c>
    </row>
    <row r="124" spans="1:17" ht="47.25" x14ac:dyDescent="0.2">
      <c r="A124" s="42"/>
      <c r="B124" s="168" t="s">
        <v>149</v>
      </c>
      <c r="C124" s="169" t="s">
        <v>150</v>
      </c>
      <c r="D124" s="170" t="s">
        <v>26</v>
      </c>
      <c r="E124" s="171"/>
      <c r="F124" s="172">
        <f t="shared" ref="F124:N125" si="32">F125</f>
        <v>7530.9</v>
      </c>
      <c r="G124" s="172">
        <f t="shared" si="32"/>
        <v>0</v>
      </c>
      <c r="H124" s="172">
        <f t="shared" si="32"/>
        <v>7530.9</v>
      </c>
      <c r="I124" s="188">
        <f t="shared" si="32"/>
        <v>0</v>
      </c>
      <c r="J124" s="189"/>
      <c r="K124" s="188">
        <f t="shared" si="32"/>
        <v>0</v>
      </c>
      <c r="L124" s="172">
        <f t="shared" si="32"/>
        <v>7530.9</v>
      </c>
      <c r="M124" s="172">
        <f t="shared" si="32"/>
        <v>0</v>
      </c>
      <c r="N124" s="172">
        <f t="shared" si="32"/>
        <v>7530.9</v>
      </c>
      <c r="O124" s="178">
        <f t="shared" si="18"/>
        <v>7530.9</v>
      </c>
      <c r="P124" s="92">
        <f t="shared" si="19"/>
        <v>0</v>
      </c>
    </row>
    <row r="125" spans="1:17" ht="31.5" x14ac:dyDescent="0.2">
      <c r="A125" s="42"/>
      <c r="B125" s="168" t="s">
        <v>39</v>
      </c>
      <c r="C125" s="169" t="s">
        <v>151</v>
      </c>
      <c r="D125" s="170" t="s">
        <v>26</v>
      </c>
      <c r="E125" s="171"/>
      <c r="F125" s="172">
        <f t="shared" si="32"/>
        <v>7530.9</v>
      </c>
      <c r="G125" s="172">
        <f t="shared" si="32"/>
        <v>0</v>
      </c>
      <c r="H125" s="172">
        <f t="shared" si="32"/>
        <v>7530.9</v>
      </c>
      <c r="I125" s="188">
        <f t="shared" si="32"/>
        <v>0</v>
      </c>
      <c r="J125" s="189"/>
      <c r="K125" s="188">
        <f t="shared" si="32"/>
        <v>0</v>
      </c>
      <c r="L125" s="172">
        <f t="shared" si="32"/>
        <v>7530.9</v>
      </c>
      <c r="M125" s="172">
        <f t="shared" si="32"/>
        <v>0</v>
      </c>
      <c r="N125" s="172">
        <f t="shared" si="32"/>
        <v>7530.9</v>
      </c>
      <c r="O125" s="178">
        <f t="shared" si="18"/>
        <v>7530.9</v>
      </c>
      <c r="P125" s="92">
        <f t="shared" si="19"/>
        <v>0</v>
      </c>
    </row>
    <row r="126" spans="1:17" ht="31.5" x14ac:dyDescent="0.2">
      <c r="A126" s="42"/>
      <c r="B126" s="168" t="s">
        <v>74</v>
      </c>
      <c r="C126" s="169" t="s">
        <v>151</v>
      </c>
      <c r="D126" s="170" t="s">
        <v>75</v>
      </c>
      <c r="E126" s="171"/>
      <c r="F126" s="172">
        <v>7530.9</v>
      </c>
      <c r="G126" s="172"/>
      <c r="H126" s="172">
        <f>SUM(F126)</f>
        <v>7530.9</v>
      </c>
      <c r="I126" s="188">
        <v>0</v>
      </c>
      <c r="J126" s="189"/>
      <c r="K126" s="188">
        <v>0</v>
      </c>
      <c r="L126" s="172">
        <f>SUM(F126)</f>
        <v>7530.9</v>
      </c>
      <c r="M126" s="172">
        <f>SUM(G126)</f>
        <v>0</v>
      </c>
      <c r="N126" s="172">
        <f>SUM(L126+M126)</f>
        <v>7530.9</v>
      </c>
      <c r="O126" s="178">
        <f t="shared" si="18"/>
        <v>7530.9</v>
      </c>
      <c r="P126" s="92">
        <f t="shared" si="19"/>
        <v>0</v>
      </c>
    </row>
    <row r="127" spans="1:17" ht="31.5" x14ac:dyDescent="0.2">
      <c r="A127" s="42"/>
      <c r="B127" s="200" t="s">
        <v>152</v>
      </c>
      <c r="C127" s="169" t="s">
        <v>153</v>
      </c>
      <c r="D127" s="170"/>
      <c r="E127" s="171"/>
      <c r="F127" s="201">
        <v>451.3</v>
      </c>
      <c r="G127" s="172">
        <f>SUM(G130)+G129</f>
        <v>0</v>
      </c>
      <c r="H127" s="172">
        <f>SUM(F127:G127)</f>
        <v>451.3</v>
      </c>
      <c r="I127" s="188"/>
      <c r="J127" s="189"/>
      <c r="K127" s="188"/>
      <c r="L127" s="172">
        <f>SUM(F128)</f>
        <v>451.3</v>
      </c>
      <c r="M127" s="172">
        <f t="shared" ref="M127:N130" si="33">SUM(G127)</f>
        <v>0</v>
      </c>
      <c r="N127" s="172">
        <f t="shared" si="33"/>
        <v>451.3</v>
      </c>
      <c r="O127" s="178">
        <f t="shared" si="18"/>
        <v>451.3</v>
      </c>
      <c r="P127" s="92">
        <f t="shared" si="19"/>
        <v>0</v>
      </c>
    </row>
    <row r="128" spans="1:17" ht="31.5" x14ac:dyDescent="0.2">
      <c r="A128" s="42"/>
      <c r="B128" s="168" t="s">
        <v>154</v>
      </c>
      <c r="C128" s="169" t="s">
        <v>155</v>
      </c>
      <c r="D128" s="170"/>
      <c r="E128" s="171"/>
      <c r="F128" s="201">
        <v>451.3</v>
      </c>
      <c r="G128" s="172">
        <f>G129+G130</f>
        <v>0</v>
      </c>
      <c r="H128" s="172">
        <f>SUM(F128:G128)</f>
        <v>451.3</v>
      </c>
      <c r="I128" s="188"/>
      <c r="J128" s="189"/>
      <c r="K128" s="188"/>
      <c r="L128" s="201">
        <f>L129</f>
        <v>451.3</v>
      </c>
      <c r="M128" s="172">
        <f t="shared" si="33"/>
        <v>0</v>
      </c>
      <c r="N128" s="172">
        <f>SUM(H128)</f>
        <v>451.3</v>
      </c>
      <c r="O128" s="178">
        <f t="shared" si="18"/>
        <v>451.3</v>
      </c>
      <c r="P128" s="92">
        <f t="shared" si="19"/>
        <v>0</v>
      </c>
    </row>
    <row r="129" spans="1:17" ht="31.5" x14ac:dyDescent="0.2">
      <c r="A129" s="42"/>
      <c r="B129" s="168" t="s">
        <v>35</v>
      </c>
      <c r="C129" s="169" t="s">
        <v>155</v>
      </c>
      <c r="D129" s="170" t="s">
        <v>36</v>
      </c>
      <c r="E129" s="171"/>
      <c r="F129" s="201">
        <v>451.3</v>
      </c>
      <c r="G129" s="172"/>
      <c r="H129" s="172">
        <f>SUM(F129)+G129</f>
        <v>451.3</v>
      </c>
      <c r="I129" s="188"/>
      <c r="J129" s="189"/>
      <c r="K129" s="188"/>
      <c r="L129" s="172">
        <f>SUM(F129)</f>
        <v>451.3</v>
      </c>
      <c r="M129" s="172">
        <f>SUM(G129)</f>
        <v>0</v>
      </c>
      <c r="N129" s="172">
        <f t="shared" si="33"/>
        <v>451.3</v>
      </c>
      <c r="O129" s="178">
        <f t="shared" si="18"/>
        <v>451.3</v>
      </c>
      <c r="P129" s="92">
        <f t="shared" si="19"/>
        <v>0</v>
      </c>
    </row>
    <row r="130" spans="1:17" ht="47.25" customHeight="1" x14ac:dyDescent="0.2">
      <c r="A130" s="42"/>
      <c r="B130" s="168" t="s">
        <v>131</v>
      </c>
      <c r="C130" s="169" t="s">
        <v>155</v>
      </c>
      <c r="D130" s="170" t="s">
        <v>132</v>
      </c>
      <c r="E130" s="171"/>
      <c r="F130" s="172">
        <v>0</v>
      </c>
      <c r="G130" s="172"/>
      <c r="H130" s="172">
        <f>SUM(F130)+G130</f>
        <v>0</v>
      </c>
      <c r="I130" s="188"/>
      <c r="J130" s="189"/>
      <c r="K130" s="188"/>
      <c r="L130" s="172">
        <f>SUM(F130)</f>
        <v>0</v>
      </c>
      <c r="M130" s="172">
        <f t="shared" si="33"/>
        <v>0</v>
      </c>
      <c r="N130" s="172">
        <f t="shared" si="33"/>
        <v>0</v>
      </c>
      <c r="O130" s="178">
        <f t="shared" si="18"/>
        <v>0</v>
      </c>
      <c r="P130" s="92">
        <f t="shared" si="19"/>
        <v>0</v>
      </c>
    </row>
    <row r="131" spans="1:17" ht="18.75" hidden="1" x14ac:dyDescent="0.2">
      <c r="A131" s="42"/>
      <c r="B131" s="168"/>
      <c r="C131" s="169"/>
      <c r="D131" s="170"/>
      <c r="E131" s="171"/>
      <c r="F131" s="172"/>
      <c r="G131" s="172"/>
      <c r="H131" s="172"/>
      <c r="I131" s="188"/>
      <c r="J131" s="189"/>
      <c r="K131" s="188"/>
      <c r="L131" s="172"/>
      <c r="M131" s="172">
        <f t="shared" ref="M131:N134" si="34">SUM(G131)</f>
        <v>0</v>
      </c>
      <c r="N131" s="172">
        <f t="shared" si="34"/>
        <v>0</v>
      </c>
      <c r="O131" s="178">
        <f t="shared" si="18"/>
        <v>0</v>
      </c>
      <c r="P131" s="92">
        <f t="shared" si="19"/>
        <v>0</v>
      </c>
    </row>
    <row r="132" spans="1:17" ht="18.75" hidden="1" x14ac:dyDescent="0.2">
      <c r="A132" s="42"/>
      <c r="B132" s="168"/>
      <c r="C132" s="169"/>
      <c r="D132" s="170"/>
      <c r="E132" s="171"/>
      <c r="F132" s="172"/>
      <c r="G132" s="172"/>
      <c r="H132" s="172"/>
      <c r="I132" s="188"/>
      <c r="J132" s="189"/>
      <c r="K132" s="188"/>
      <c r="L132" s="172"/>
      <c r="M132" s="172">
        <f t="shared" si="34"/>
        <v>0</v>
      </c>
      <c r="N132" s="172">
        <f t="shared" si="34"/>
        <v>0</v>
      </c>
      <c r="O132" s="178">
        <f t="shared" si="18"/>
        <v>0</v>
      </c>
      <c r="P132" s="92">
        <f t="shared" si="19"/>
        <v>0</v>
      </c>
    </row>
    <row r="133" spans="1:17" ht="18.75" hidden="1" x14ac:dyDescent="0.2">
      <c r="A133" s="42"/>
      <c r="B133" s="168"/>
      <c r="C133" s="169"/>
      <c r="D133" s="170"/>
      <c r="E133" s="171"/>
      <c r="F133" s="172"/>
      <c r="G133" s="172"/>
      <c r="H133" s="172"/>
      <c r="I133" s="188"/>
      <c r="J133" s="189"/>
      <c r="K133" s="188"/>
      <c r="L133" s="172"/>
      <c r="M133" s="172">
        <f t="shared" si="34"/>
        <v>0</v>
      </c>
      <c r="N133" s="172">
        <f t="shared" si="34"/>
        <v>0</v>
      </c>
      <c r="O133" s="178">
        <f t="shared" si="18"/>
        <v>0</v>
      </c>
      <c r="P133" s="92">
        <f t="shared" si="19"/>
        <v>0</v>
      </c>
    </row>
    <row r="134" spans="1:17" ht="31.5" hidden="1" x14ac:dyDescent="0.2">
      <c r="A134" s="42"/>
      <c r="B134" s="168" t="s">
        <v>131</v>
      </c>
      <c r="C134" s="169"/>
      <c r="D134" s="170" t="s">
        <v>132</v>
      </c>
      <c r="E134" s="171"/>
      <c r="F134" s="172"/>
      <c r="G134" s="172"/>
      <c r="H134" s="172">
        <f>SUM(G134)</f>
        <v>0</v>
      </c>
      <c r="I134" s="188"/>
      <c r="J134" s="189"/>
      <c r="K134" s="188"/>
      <c r="L134" s="172"/>
      <c r="M134" s="172">
        <f t="shared" si="34"/>
        <v>0</v>
      </c>
      <c r="N134" s="172">
        <f t="shared" si="34"/>
        <v>0</v>
      </c>
      <c r="O134" s="178">
        <f t="shared" si="18"/>
        <v>0</v>
      </c>
      <c r="P134" s="92">
        <f t="shared" si="19"/>
        <v>0</v>
      </c>
    </row>
    <row r="135" spans="1:17" ht="31.5" x14ac:dyDescent="0.2">
      <c r="A135" s="19" t="s">
        <v>156</v>
      </c>
      <c r="B135" s="182" t="s">
        <v>157</v>
      </c>
      <c r="C135" s="183" t="s">
        <v>158</v>
      </c>
      <c r="D135" s="184" t="s">
        <v>26</v>
      </c>
      <c r="E135" s="185"/>
      <c r="F135" s="186">
        <f t="shared" ref="F135:N135" si="35">F136+F143+F154+F186+F192</f>
        <v>215844.90000000002</v>
      </c>
      <c r="G135" s="186">
        <f>G136+G143+G154+G186+G192</f>
        <v>15422.2</v>
      </c>
      <c r="H135" s="186">
        <f t="shared" si="35"/>
        <v>231267.10000000003</v>
      </c>
      <c r="I135" s="187">
        <f t="shared" si="35"/>
        <v>2317310.9000000004</v>
      </c>
      <c r="J135" s="186">
        <f t="shared" si="35"/>
        <v>-726511.6</v>
      </c>
      <c r="K135" s="187">
        <f t="shared" si="35"/>
        <v>1590799.3</v>
      </c>
      <c r="L135" s="186">
        <f t="shared" si="35"/>
        <v>2533155.8000000003</v>
      </c>
      <c r="M135" s="186">
        <f t="shared" si="35"/>
        <v>-711089.4</v>
      </c>
      <c r="N135" s="186">
        <f t="shared" si="35"/>
        <v>1822066.4000000004</v>
      </c>
      <c r="O135" s="178">
        <f t="shared" si="18"/>
        <v>1822066.4000000004</v>
      </c>
      <c r="P135" s="92">
        <f t="shared" si="19"/>
        <v>0</v>
      </c>
      <c r="Q135" s="25"/>
    </row>
    <row r="136" spans="1:17" ht="20.45" customHeight="1" x14ac:dyDescent="0.2">
      <c r="A136" s="49"/>
      <c r="B136" s="190" t="s">
        <v>159</v>
      </c>
      <c r="C136" s="191" t="s">
        <v>160</v>
      </c>
      <c r="D136" s="192" t="s">
        <v>26</v>
      </c>
      <c r="E136" s="193"/>
      <c r="F136" s="194">
        <f t="shared" ref="F136:N138" si="36">F137</f>
        <v>1884.2</v>
      </c>
      <c r="G136" s="194">
        <f>G137+G140</f>
        <v>-85.8</v>
      </c>
      <c r="H136" s="194">
        <f>H137+H140</f>
        <v>1798.4</v>
      </c>
      <c r="I136" s="195">
        <f t="shared" si="36"/>
        <v>3074.2</v>
      </c>
      <c r="J136" s="196">
        <f>J137</f>
        <v>-139.9</v>
      </c>
      <c r="K136" s="195">
        <f t="shared" si="36"/>
        <v>2934.2999999999997</v>
      </c>
      <c r="L136" s="194">
        <f>L137</f>
        <v>4958.3999999999996</v>
      </c>
      <c r="M136" s="194">
        <f>M137</f>
        <v>-225.7</v>
      </c>
      <c r="N136" s="194">
        <f>SUM(N137+N140)</f>
        <v>4732.7</v>
      </c>
      <c r="O136" s="178">
        <f t="shared" si="18"/>
        <v>4732.7</v>
      </c>
      <c r="P136" s="92">
        <f t="shared" si="19"/>
        <v>0</v>
      </c>
    </row>
    <row r="137" spans="1:17" ht="31.5" x14ac:dyDescent="0.2">
      <c r="A137" s="42"/>
      <c r="B137" s="168" t="s">
        <v>161</v>
      </c>
      <c r="C137" s="169" t="s">
        <v>162</v>
      </c>
      <c r="D137" s="170" t="s">
        <v>26</v>
      </c>
      <c r="E137" s="171"/>
      <c r="F137" s="172">
        <f t="shared" si="36"/>
        <v>1884.2</v>
      </c>
      <c r="G137" s="172">
        <f t="shared" si="36"/>
        <v>-85.8</v>
      </c>
      <c r="H137" s="172">
        <f t="shared" si="36"/>
        <v>1798.4</v>
      </c>
      <c r="I137" s="188">
        <f t="shared" si="36"/>
        <v>3074.2</v>
      </c>
      <c r="J137" s="189">
        <f>J138</f>
        <v>-139.9</v>
      </c>
      <c r="K137" s="188">
        <f t="shared" si="36"/>
        <v>2934.2999999999997</v>
      </c>
      <c r="L137" s="172">
        <f t="shared" si="36"/>
        <v>4958.3999999999996</v>
      </c>
      <c r="M137" s="172">
        <f t="shared" si="36"/>
        <v>-225.7</v>
      </c>
      <c r="N137" s="172">
        <f t="shared" si="36"/>
        <v>4732.7</v>
      </c>
      <c r="O137" s="178">
        <f t="shared" si="18"/>
        <v>4732.7</v>
      </c>
      <c r="P137" s="92">
        <f t="shared" si="19"/>
        <v>0</v>
      </c>
    </row>
    <row r="138" spans="1:17" ht="32.25" customHeight="1" x14ac:dyDescent="0.2">
      <c r="A138" s="42"/>
      <c r="B138" s="168" t="s">
        <v>163</v>
      </c>
      <c r="C138" s="169" t="s">
        <v>164</v>
      </c>
      <c r="D138" s="170" t="s">
        <v>26</v>
      </c>
      <c r="E138" s="171"/>
      <c r="F138" s="172">
        <f t="shared" si="36"/>
        <v>1884.2</v>
      </c>
      <c r="G138" s="172">
        <f t="shared" si="36"/>
        <v>-85.8</v>
      </c>
      <c r="H138" s="172">
        <f t="shared" si="36"/>
        <v>1798.4</v>
      </c>
      <c r="I138" s="188">
        <f t="shared" si="36"/>
        <v>3074.2</v>
      </c>
      <c r="J138" s="189">
        <f>J139</f>
        <v>-139.9</v>
      </c>
      <c r="K138" s="188">
        <f t="shared" si="36"/>
        <v>2934.2999999999997</v>
      </c>
      <c r="L138" s="172">
        <f t="shared" si="36"/>
        <v>4958.3999999999996</v>
      </c>
      <c r="M138" s="172">
        <f t="shared" si="36"/>
        <v>-225.7</v>
      </c>
      <c r="N138" s="172">
        <f t="shared" si="36"/>
        <v>4732.7</v>
      </c>
      <c r="O138" s="178">
        <f t="shared" si="18"/>
        <v>4732.7</v>
      </c>
      <c r="P138" s="92">
        <f t="shared" si="19"/>
        <v>0</v>
      </c>
    </row>
    <row r="139" spans="1:17" ht="18.75" x14ac:dyDescent="0.2">
      <c r="A139" s="42"/>
      <c r="B139" s="168" t="s">
        <v>54</v>
      </c>
      <c r="C139" s="169" t="s">
        <v>164</v>
      </c>
      <c r="D139" s="170" t="s">
        <v>55</v>
      </c>
      <c r="E139" s="171"/>
      <c r="F139" s="172">
        <v>1884.2</v>
      </c>
      <c r="G139" s="172">
        <f>-85.8</f>
        <v>-85.8</v>
      </c>
      <c r="H139" s="172">
        <f>SUM(F139+G139)</f>
        <v>1798.4</v>
      </c>
      <c r="I139" s="188">
        <v>3074.2</v>
      </c>
      <c r="J139" s="189">
        <f>-139.9</f>
        <v>-139.9</v>
      </c>
      <c r="K139" s="188">
        <f>I139+J139</f>
        <v>2934.2999999999997</v>
      </c>
      <c r="L139" s="172">
        <f>SUM(F139+I139)</f>
        <v>4958.3999999999996</v>
      </c>
      <c r="M139" s="172">
        <f>G139+J139</f>
        <v>-225.7</v>
      </c>
      <c r="N139" s="172">
        <f>SUM(H139+K139)</f>
        <v>4732.7</v>
      </c>
      <c r="O139" s="178">
        <f t="shared" si="18"/>
        <v>4732.7</v>
      </c>
      <c r="P139" s="92">
        <f t="shared" si="19"/>
        <v>0</v>
      </c>
    </row>
    <row r="140" spans="1:17" ht="0.75" customHeight="1" x14ac:dyDescent="0.2">
      <c r="A140" s="42"/>
      <c r="B140" s="168" t="s">
        <v>490</v>
      </c>
      <c r="C140" s="169" t="s">
        <v>489</v>
      </c>
      <c r="D140" s="170"/>
      <c r="E140" s="171"/>
      <c r="F140" s="172"/>
      <c r="G140" s="172">
        <f>SUM(G142)</f>
        <v>0</v>
      </c>
      <c r="H140" s="172">
        <f>SUM(H142)</f>
        <v>0</v>
      </c>
      <c r="I140" s="188"/>
      <c r="J140" s="189"/>
      <c r="K140" s="188"/>
      <c r="L140" s="172"/>
      <c r="M140" s="172">
        <f t="shared" ref="M140:N142" si="37">SUM(G140)</f>
        <v>0</v>
      </c>
      <c r="N140" s="172">
        <f t="shared" si="37"/>
        <v>0</v>
      </c>
      <c r="O140" s="178">
        <f t="shared" si="18"/>
        <v>0</v>
      </c>
      <c r="P140" s="92">
        <f t="shared" si="19"/>
        <v>0</v>
      </c>
    </row>
    <row r="141" spans="1:17" ht="47.25" hidden="1" x14ac:dyDescent="0.2">
      <c r="A141" s="42"/>
      <c r="B141" s="168" t="s">
        <v>492</v>
      </c>
      <c r="C141" s="169" t="s">
        <v>491</v>
      </c>
      <c r="D141" s="170"/>
      <c r="E141" s="171"/>
      <c r="F141" s="172"/>
      <c r="G141" s="172">
        <f>SUM(G142)</f>
        <v>0</v>
      </c>
      <c r="H141" s="172">
        <f>SUM(H142)</f>
        <v>0</v>
      </c>
      <c r="I141" s="188"/>
      <c r="J141" s="189"/>
      <c r="K141" s="188"/>
      <c r="L141" s="172"/>
      <c r="M141" s="172">
        <f t="shared" si="37"/>
        <v>0</v>
      </c>
      <c r="N141" s="172">
        <f t="shared" si="37"/>
        <v>0</v>
      </c>
      <c r="O141" s="178">
        <f t="shared" si="18"/>
        <v>0</v>
      </c>
      <c r="P141" s="92">
        <f t="shared" si="19"/>
        <v>0</v>
      </c>
    </row>
    <row r="142" spans="1:17" ht="31.5" hidden="1" x14ac:dyDescent="0.2">
      <c r="A142" s="42"/>
      <c r="B142" s="168" t="s">
        <v>131</v>
      </c>
      <c r="C142" s="169" t="s">
        <v>491</v>
      </c>
      <c r="D142" s="170" t="s">
        <v>132</v>
      </c>
      <c r="E142" s="171"/>
      <c r="F142" s="172"/>
      <c r="G142" s="172"/>
      <c r="H142" s="172">
        <f>SUM(G142)</f>
        <v>0</v>
      </c>
      <c r="I142" s="188"/>
      <c r="J142" s="189"/>
      <c r="K142" s="188"/>
      <c r="L142" s="172"/>
      <c r="M142" s="172">
        <f t="shared" si="37"/>
        <v>0</v>
      </c>
      <c r="N142" s="172">
        <f t="shared" si="37"/>
        <v>0</v>
      </c>
      <c r="O142" s="178">
        <f t="shared" si="18"/>
        <v>0</v>
      </c>
      <c r="P142" s="92">
        <f t="shared" si="19"/>
        <v>0</v>
      </c>
    </row>
    <row r="143" spans="1:17" ht="31.5" x14ac:dyDescent="0.2">
      <c r="A143" s="49"/>
      <c r="B143" s="190" t="s">
        <v>165</v>
      </c>
      <c r="C143" s="191" t="s">
        <v>166</v>
      </c>
      <c r="D143" s="192" t="s">
        <v>26</v>
      </c>
      <c r="E143" s="193"/>
      <c r="F143" s="194">
        <f t="shared" ref="F143:N143" si="38">F144</f>
        <v>12621</v>
      </c>
      <c r="G143" s="194">
        <f t="shared" si="38"/>
        <v>-3497.8</v>
      </c>
      <c r="H143" s="194">
        <f t="shared" si="38"/>
        <v>9123.2000000000007</v>
      </c>
      <c r="I143" s="195">
        <f t="shared" si="38"/>
        <v>2303079.5</v>
      </c>
      <c r="J143" s="194">
        <f t="shared" si="38"/>
        <v>-726371.7</v>
      </c>
      <c r="K143" s="195">
        <f t="shared" si="38"/>
        <v>1576707.8</v>
      </c>
      <c r="L143" s="194">
        <f t="shared" si="38"/>
        <v>2315700.5</v>
      </c>
      <c r="M143" s="194">
        <f t="shared" si="38"/>
        <v>-729869.5</v>
      </c>
      <c r="N143" s="194">
        <f t="shared" si="38"/>
        <v>1585831.0000000002</v>
      </c>
      <c r="O143" s="178">
        <f t="shared" si="18"/>
        <v>1585831</v>
      </c>
      <c r="P143" s="92">
        <f t="shared" si="19"/>
        <v>0</v>
      </c>
      <c r="Q143" s="55"/>
    </row>
    <row r="144" spans="1:17" ht="39.6" customHeight="1" x14ac:dyDescent="0.2">
      <c r="A144" s="42"/>
      <c r="B144" s="168" t="s">
        <v>167</v>
      </c>
      <c r="C144" s="169" t="s">
        <v>168</v>
      </c>
      <c r="D144" s="170" t="s">
        <v>26</v>
      </c>
      <c r="E144" s="171"/>
      <c r="F144" s="172">
        <f>F145+F148+F150+F152</f>
        <v>12621</v>
      </c>
      <c r="G144" s="172">
        <f>SUM(G145+G152)+G148</f>
        <v>-3497.8</v>
      </c>
      <c r="H144" s="172">
        <f>H145+H148+H150+H152</f>
        <v>9123.2000000000007</v>
      </c>
      <c r="I144" s="188">
        <f t="shared" ref="I144:N144" si="39">I145+I148+I150+I152</f>
        <v>2303079.5</v>
      </c>
      <c r="J144" s="172">
        <f>SUM(J148+J152)</f>
        <v>-726371.7</v>
      </c>
      <c r="K144" s="188">
        <f t="shared" si="39"/>
        <v>1576707.8</v>
      </c>
      <c r="L144" s="172">
        <f t="shared" si="39"/>
        <v>2315700.5</v>
      </c>
      <c r="M144" s="172">
        <f>SUM(G144+J144)</f>
        <v>-729869.5</v>
      </c>
      <c r="N144" s="172">
        <f t="shared" si="39"/>
        <v>1585831.0000000002</v>
      </c>
      <c r="O144" s="178">
        <f t="shared" si="18"/>
        <v>1585831</v>
      </c>
      <c r="P144" s="92">
        <f t="shared" si="19"/>
        <v>0</v>
      </c>
      <c r="Q144" s="48"/>
    </row>
    <row r="145" spans="1:17" ht="18.75" x14ac:dyDescent="0.2">
      <c r="A145" s="42"/>
      <c r="B145" s="168" t="s">
        <v>169</v>
      </c>
      <c r="C145" s="169" t="s">
        <v>170</v>
      </c>
      <c r="D145" s="170" t="s">
        <v>26</v>
      </c>
      <c r="E145" s="171"/>
      <c r="F145" s="172">
        <f>F146+F147</f>
        <v>30.8</v>
      </c>
      <c r="G145" s="172">
        <f>G146+G147</f>
        <v>152.19999999999999</v>
      </c>
      <c r="H145" s="172">
        <f>H146+H147</f>
        <v>183</v>
      </c>
      <c r="I145" s="188">
        <f>I146</f>
        <v>1529.5</v>
      </c>
      <c r="J145" s="172">
        <f>J146</f>
        <v>0</v>
      </c>
      <c r="K145" s="188">
        <f>K146</f>
        <v>1529.5</v>
      </c>
      <c r="L145" s="172">
        <f>L146+F145</f>
        <v>1560.3</v>
      </c>
      <c r="M145" s="172">
        <f>M146+M147</f>
        <v>152.19999999999999</v>
      </c>
      <c r="N145" s="172">
        <f>N146+N147</f>
        <v>1712.5</v>
      </c>
      <c r="O145" s="178">
        <f t="shared" ref="O145:O208" si="40">L145+M145</f>
        <v>1712.5</v>
      </c>
      <c r="P145" s="92">
        <f t="shared" ref="P145:P208" si="41">O145-N145</f>
        <v>0</v>
      </c>
    </row>
    <row r="146" spans="1:17" ht="31.5" x14ac:dyDescent="0.2">
      <c r="A146" s="42"/>
      <c r="B146" s="168" t="s">
        <v>35</v>
      </c>
      <c r="C146" s="169" t="s">
        <v>170</v>
      </c>
      <c r="D146" s="170" t="s">
        <v>36</v>
      </c>
      <c r="E146" s="171"/>
      <c r="F146" s="172">
        <v>0</v>
      </c>
      <c r="G146" s="172">
        <v>152.19999999999999</v>
      </c>
      <c r="H146" s="172">
        <f>SUM(F146+G146)</f>
        <v>152.19999999999999</v>
      </c>
      <c r="I146" s="188">
        <v>1529.5</v>
      </c>
      <c r="J146" s="189"/>
      <c r="K146" s="189">
        <f>SUM(I146)</f>
        <v>1529.5</v>
      </c>
      <c r="L146" s="172">
        <f>SUM(I146)</f>
        <v>1529.5</v>
      </c>
      <c r="M146" s="172">
        <f>G146+J146</f>
        <v>152.19999999999999</v>
      </c>
      <c r="N146" s="172">
        <f>H146+K146</f>
        <v>1681.7</v>
      </c>
      <c r="O146" s="178">
        <f t="shared" si="40"/>
        <v>1681.7</v>
      </c>
      <c r="P146" s="92">
        <f t="shared" si="41"/>
        <v>0</v>
      </c>
    </row>
    <row r="147" spans="1:17" ht="31.5" x14ac:dyDescent="0.2">
      <c r="A147" s="42"/>
      <c r="B147" s="168" t="s">
        <v>131</v>
      </c>
      <c r="C147" s="169" t="s">
        <v>170</v>
      </c>
      <c r="D147" s="170" t="s">
        <v>132</v>
      </c>
      <c r="E147" s="171"/>
      <c r="F147" s="172">
        <v>30.8</v>
      </c>
      <c r="G147" s="172"/>
      <c r="H147" s="172">
        <f>SUM(F147)+G147</f>
        <v>30.8</v>
      </c>
      <c r="I147" s="188"/>
      <c r="J147" s="189"/>
      <c r="K147" s="189"/>
      <c r="L147" s="172">
        <f>SUM(F147)</f>
        <v>30.8</v>
      </c>
      <c r="M147" s="172">
        <f>SUM(G147)</f>
        <v>0</v>
      </c>
      <c r="N147" s="172">
        <f>SUM(H147)</f>
        <v>30.8</v>
      </c>
      <c r="O147" s="178">
        <f t="shared" si="40"/>
        <v>30.8</v>
      </c>
      <c r="P147" s="92">
        <f t="shared" si="41"/>
        <v>0</v>
      </c>
    </row>
    <row r="148" spans="1:17" ht="20.45" customHeight="1" x14ac:dyDescent="0.2">
      <c r="A148" s="42"/>
      <c r="B148" s="168" t="s">
        <v>171</v>
      </c>
      <c r="C148" s="169" t="s">
        <v>172</v>
      </c>
      <c r="D148" s="170" t="s">
        <v>26</v>
      </c>
      <c r="E148" s="171"/>
      <c r="F148" s="172">
        <f t="shared" ref="F148:N148" si="42">F149</f>
        <v>11457.5</v>
      </c>
      <c r="G148" s="172">
        <f t="shared" si="42"/>
        <v>-3650</v>
      </c>
      <c r="H148" s="172">
        <f t="shared" si="42"/>
        <v>7807.5</v>
      </c>
      <c r="I148" s="188">
        <f t="shared" si="42"/>
        <v>2280029.1</v>
      </c>
      <c r="J148" s="189">
        <f t="shared" si="42"/>
        <v>-726371.7</v>
      </c>
      <c r="K148" s="188">
        <f t="shared" si="42"/>
        <v>1553657.4000000001</v>
      </c>
      <c r="L148" s="172">
        <f t="shared" si="42"/>
        <v>2291486.6</v>
      </c>
      <c r="M148" s="172">
        <f t="shared" si="42"/>
        <v>-730021.7</v>
      </c>
      <c r="N148" s="172">
        <f t="shared" si="42"/>
        <v>1561464.9000000001</v>
      </c>
      <c r="O148" s="178">
        <f t="shared" si="40"/>
        <v>1561464.9000000001</v>
      </c>
      <c r="P148" s="92">
        <f t="shared" si="41"/>
        <v>0</v>
      </c>
    </row>
    <row r="149" spans="1:17" ht="31.5" x14ac:dyDescent="0.2">
      <c r="A149" s="42"/>
      <c r="B149" s="168" t="s">
        <v>131</v>
      </c>
      <c r="C149" s="169" t="s">
        <v>172</v>
      </c>
      <c r="D149" s="170" t="s">
        <v>132</v>
      </c>
      <c r="E149" s="171"/>
      <c r="F149" s="172">
        <v>11457.5</v>
      </c>
      <c r="G149" s="172">
        <v>-3650</v>
      </c>
      <c r="H149" s="172">
        <f>11457.5+G149</f>
        <v>7807.5</v>
      </c>
      <c r="I149" s="188">
        <v>2280029.1</v>
      </c>
      <c r="J149" s="189">
        <v>-726371.7</v>
      </c>
      <c r="K149" s="188">
        <f>2280029.1+J149</f>
        <v>1553657.4000000001</v>
      </c>
      <c r="L149" s="172">
        <f>11457.5+I149</f>
        <v>2291486.6</v>
      </c>
      <c r="M149" s="172">
        <f>SUM(G149)+J149</f>
        <v>-730021.7</v>
      </c>
      <c r="N149" s="172">
        <f>SUM(H149+K149)</f>
        <v>1561464.9000000001</v>
      </c>
      <c r="O149" s="178">
        <f t="shared" si="40"/>
        <v>1561464.9000000001</v>
      </c>
      <c r="P149" s="92">
        <f t="shared" si="41"/>
        <v>0</v>
      </c>
    </row>
    <row r="150" spans="1:17" ht="18.75" x14ac:dyDescent="0.2">
      <c r="A150" s="42"/>
      <c r="B150" s="168" t="s">
        <v>173</v>
      </c>
      <c r="C150" s="169" t="s">
        <v>174</v>
      </c>
      <c r="D150" s="170" t="s">
        <v>26</v>
      </c>
      <c r="E150" s="171"/>
      <c r="F150" s="172">
        <f>F151</f>
        <v>386.1</v>
      </c>
      <c r="G150" s="172">
        <f>G151</f>
        <v>0</v>
      </c>
      <c r="H150" s="172">
        <f>H151</f>
        <v>386.1</v>
      </c>
      <c r="I150" s="188">
        <f>I151</f>
        <v>7335.5</v>
      </c>
      <c r="J150" s="189"/>
      <c r="K150" s="188">
        <f>K151</f>
        <v>7335.5</v>
      </c>
      <c r="L150" s="172">
        <f>L151</f>
        <v>7721.6</v>
      </c>
      <c r="M150" s="172">
        <f>M151</f>
        <v>0</v>
      </c>
      <c r="N150" s="172">
        <f>N151</f>
        <v>7721.6</v>
      </c>
      <c r="O150" s="178">
        <f t="shared" si="40"/>
        <v>7721.6</v>
      </c>
      <c r="P150" s="92">
        <f t="shared" si="41"/>
        <v>0</v>
      </c>
    </row>
    <row r="151" spans="1:17" ht="31.5" x14ac:dyDescent="0.2">
      <c r="A151" s="42"/>
      <c r="B151" s="168" t="s">
        <v>131</v>
      </c>
      <c r="C151" s="169" t="s">
        <v>174</v>
      </c>
      <c r="D151" s="170" t="s">
        <v>132</v>
      </c>
      <c r="E151" s="171"/>
      <c r="F151" s="172">
        <v>386.1</v>
      </c>
      <c r="G151" s="172"/>
      <c r="H151" s="172">
        <f>SUM(F151)</f>
        <v>386.1</v>
      </c>
      <c r="I151" s="188">
        <f>14200-6864.5</f>
        <v>7335.5</v>
      </c>
      <c r="J151" s="189"/>
      <c r="K151" s="188">
        <f>14200-6864.5</f>
        <v>7335.5</v>
      </c>
      <c r="L151" s="188">
        <f>SUM(F151+I151)</f>
        <v>7721.6</v>
      </c>
      <c r="M151" s="172">
        <f>SUM(G151)</f>
        <v>0</v>
      </c>
      <c r="N151" s="188">
        <f>SUM(H151+K151)</f>
        <v>7721.6</v>
      </c>
      <c r="O151" s="178">
        <f t="shared" si="40"/>
        <v>7721.6</v>
      </c>
      <c r="P151" s="92">
        <f t="shared" si="41"/>
        <v>0</v>
      </c>
    </row>
    <row r="152" spans="1:17" ht="18.75" x14ac:dyDescent="0.2">
      <c r="A152" s="42"/>
      <c r="B152" s="168" t="s">
        <v>175</v>
      </c>
      <c r="C152" s="169" t="s">
        <v>176</v>
      </c>
      <c r="D152" s="170" t="s">
        <v>26</v>
      </c>
      <c r="E152" s="171"/>
      <c r="F152" s="172">
        <f>F153</f>
        <v>746.6</v>
      </c>
      <c r="G152" s="172">
        <f>G153</f>
        <v>0</v>
      </c>
      <c r="H152" s="172">
        <f>H153</f>
        <v>746.6</v>
      </c>
      <c r="I152" s="188">
        <f>I153</f>
        <v>14185.4</v>
      </c>
      <c r="J152" s="189"/>
      <c r="K152" s="188">
        <f>K153</f>
        <v>14185.4</v>
      </c>
      <c r="L152" s="172">
        <f>L153</f>
        <v>14932</v>
      </c>
      <c r="M152" s="172">
        <f>M153</f>
        <v>0</v>
      </c>
      <c r="N152" s="172">
        <f>N153</f>
        <v>14932</v>
      </c>
      <c r="O152" s="178">
        <f t="shared" si="40"/>
        <v>14932</v>
      </c>
      <c r="P152" s="92">
        <f t="shared" si="41"/>
        <v>0</v>
      </c>
    </row>
    <row r="153" spans="1:17" ht="31.5" x14ac:dyDescent="0.2">
      <c r="A153" s="42"/>
      <c r="B153" s="168" t="s">
        <v>131</v>
      </c>
      <c r="C153" s="169" t="s">
        <v>176</v>
      </c>
      <c r="D153" s="170" t="s">
        <v>132</v>
      </c>
      <c r="E153" s="171"/>
      <c r="F153" s="172">
        <v>746.6</v>
      </c>
      <c r="G153" s="172"/>
      <c r="H153" s="172">
        <f>663.2+83.4</f>
        <v>746.6</v>
      </c>
      <c r="I153" s="188">
        <v>14185.4</v>
      </c>
      <c r="J153" s="189"/>
      <c r="K153" s="188">
        <f>SUM(I153)</f>
        <v>14185.4</v>
      </c>
      <c r="L153" s="172">
        <f>SUM(F153+I153)</f>
        <v>14932</v>
      </c>
      <c r="M153" s="172">
        <f>SUM(J153)+G153</f>
        <v>0</v>
      </c>
      <c r="N153" s="172">
        <f>SUM(H153+K153)</f>
        <v>14932</v>
      </c>
      <c r="O153" s="178">
        <f t="shared" si="40"/>
        <v>14932</v>
      </c>
      <c r="P153" s="92">
        <f t="shared" si="41"/>
        <v>0</v>
      </c>
    </row>
    <row r="154" spans="1:17" ht="18.75" x14ac:dyDescent="0.2">
      <c r="A154" s="49"/>
      <c r="B154" s="190" t="s">
        <v>177</v>
      </c>
      <c r="C154" s="191" t="s">
        <v>178</v>
      </c>
      <c r="D154" s="192" t="s">
        <v>26</v>
      </c>
      <c r="E154" s="193"/>
      <c r="F154" s="194">
        <f t="shared" ref="F154:N154" si="43">F155</f>
        <v>54426.9</v>
      </c>
      <c r="G154" s="194">
        <f t="shared" si="43"/>
        <v>15198.2</v>
      </c>
      <c r="H154" s="194">
        <f t="shared" si="43"/>
        <v>69625.100000000006</v>
      </c>
      <c r="I154" s="195">
        <f t="shared" si="43"/>
        <v>11157.199999999999</v>
      </c>
      <c r="J154" s="195">
        <f t="shared" si="43"/>
        <v>0</v>
      </c>
      <c r="K154" s="195">
        <f t="shared" si="43"/>
        <v>11157.199999999999</v>
      </c>
      <c r="L154" s="194">
        <f t="shared" si="43"/>
        <v>65584.100000000006</v>
      </c>
      <c r="M154" s="194">
        <f t="shared" si="43"/>
        <v>15198.2</v>
      </c>
      <c r="N154" s="194">
        <f t="shared" si="43"/>
        <v>80782.299999999988</v>
      </c>
      <c r="O154" s="178">
        <f t="shared" si="40"/>
        <v>80782.3</v>
      </c>
      <c r="P154" s="92">
        <f t="shared" si="41"/>
        <v>0</v>
      </c>
      <c r="Q154" s="55"/>
    </row>
    <row r="155" spans="1:17" ht="34.9" customHeight="1" x14ac:dyDescent="0.2">
      <c r="A155" s="42"/>
      <c r="B155" s="168" t="s">
        <v>179</v>
      </c>
      <c r="C155" s="169" t="s">
        <v>180</v>
      </c>
      <c r="D155" s="170" t="s">
        <v>26</v>
      </c>
      <c r="E155" s="171"/>
      <c r="F155" s="172">
        <f>F156+F158+F160+F162+F168+F170+F164+F180+F176</f>
        <v>54426.9</v>
      </c>
      <c r="G155" s="172">
        <f>G156+G158+G160+G162+G164+G168+G170+G176+G178+G180</f>
        <v>15198.2</v>
      </c>
      <c r="H155" s="172">
        <f>H156+H158+H160+H162+H168+H170+H164+H180+H176</f>
        <v>69625.100000000006</v>
      </c>
      <c r="I155" s="188">
        <f>SUM(I158+I166+I178+I180)+I176</f>
        <v>11157.199999999999</v>
      </c>
      <c r="J155" s="189">
        <f>SUM(J180)+J176+J178+J166</f>
        <v>0</v>
      </c>
      <c r="K155" s="188">
        <f>SUM(K158+K166+K178+K180)+K176</f>
        <v>11157.199999999999</v>
      </c>
      <c r="L155" s="172">
        <f>SUM(L156+L158+L160+L162+L164+L166+L168+L170+L176+L178+L180)</f>
        <v>65584.100000000006</v>
      </c>
      <c r="M155" s="172">
        <f>M156+M158+M160+M162+M164+M168+M170+M176+M178+M180</f>
        <v>15198.2</v>
      </c>
      <c r="N155" s="172">
        <f>SUM(N156+N158+N160+N162+N164+N166+N168+N170+N176+N178+N180)</f>
        <v>80782.299999999988</v>
      </c>
      <c r="O155" s="178">
        <f t="shared" si="40"/>
        <v>80782.3</v>
      </c>
      <c r="P155" s="92">
        <f t="shared" si="41"/>
        <v>0</v>
      </c>
      <c r="Q155" s="48"/>
    </row>
    <row r="156" spans="1:17" ht="18.75" x14ac:dyDescent="0.2">
      <c r="A156" s="42"/>
      <c r="B156" s="168" t="s">
        <v>181</v>
      </c>
      <c r="C156" s="169" t="s">
        <v>182</v>
      </c>
      <c r="D156" s="170" t="s">
        <v>26</v>
      </c>
      <c r="E156" s="171"/>
      <c r="F156" s="172">
        <f>F157</f>
        <v>22389.9</v>
      </c>
      <c r="G156" s="172">
        <f>G157</f>
        <v>1210.4000000000001</v>
      </c>
      <c r="H156" s="172">
        <f>H157</f>
        <v>23600.300000000003</v>
      </c>
      <c r="I156" s="188">
        <f>I157</f>
        <v>0</v>
      </c>
      <c r="J156" s="189"/>
      <c r="K156" s="188">
        <f>K157</f>
        <v>0</v>
      </c>
      <c r="L156" s="172">
        <f>L157</f>
        <v>22389.9</v>
      </c>
      <c r="M156" s="172">
        <f>M157</f>
        <v>1210.4000000000001</v>
      </c>
      <c r="N156" s="172">
        <f>N157</f>
        <v>23600.300000000003</v>
      </c>
      <c r="O156" s="178">
        <f t="shared" si="40"/>
        <v>23600.300000000003</v>
      </c>
      <c r="P156" s="92">
        <f t="shared" si="41"/>
        <v>0</v>
      </c>
    </row>
    <row r="157" spans="1:17" ht="31.5" x14ac:dyDescent="0.2">
      <c r="A157" s="42"/>
      <c r="B157" s="168" t="s">
        <v>35</v>
      </c>
      <c r="C157" s="169" t="s">
        <v>182</v>
      </c>
      <c r="D157" s="170" t="s">
        <v>36</v>
      </c>
      <c r="E157" s="171"/>
      <c r="F157" s="172">
        <v>22389.9</v>
      </c>
      <c r="G157" s="172">
        <f>210.4+1000</f>
        <v>1210.4000000000001</v>
      </c>
      <c r="H157" s="172">
        <f>SUM(F157)+G157</f>
        <v>23600.300000000003</v>
      </c>
      <c r="I157" s="188">
        <v>0</v>
      </c>
      <c r="J157" s="189"/>
      <c r="K157" s="188">
        <v>0</v>
      </c>
      <c r="L157" s="172">
        <f>SUM(F157)</f>
        <v>22389.9</v>
      </c>
      <c r="M157" s="172">
        <f>SUM(G157)</f>
        <v>1210.4000000000001</v>
      </c>
      <c r="N157" s="172">
        <f>SUM(H157)</f>
        <v>23600.300000000003</v>
      </c>
      <c r="O157" s="178">
        <f t="shared" si="40"/>
        <v>23600.300000000003</v>
      </c>
      <c r="P157" s="92">
        <f t="shared" si="41"/>
        <v>0</v>
      </c>
    </row>
    <row r="158" spans="1:17" ht="18.75" x14ac:dyDescent="0.2">
      <c r="A158" s="42"/>
      <c r="B158" s="168" t="s">
        <v>183</v>
      </c>
      <c r="C158" s="169" t="s">
        <v>184</v>
      </c>
      <c r="D158" s="170" t="s">
        <v>26</v>
      </c>
      <c r="E158" s="171"/>
      <c r="F158" s="172">
        <f t="shared" ref="F158:N158" si="44">F159</f>
        <v>13950.8</v>
      </c>
      <c r="G158" s="172">
        <f t="shared" si="44"/>
        <v>2978</v>
      </c>
      <c r="H158" s="172">
        <f t="shared" si="44"/>
        <v>16928.8</v>
      </c>
      <c r="I158" s="188">
        <f t="shared" si="44"/>
        <v>75</v>
      </c>
      <c r="J158" s="172">
        <f t="shared" si="44"/>
        <v>0</v>
      </c>
      <c r="K158" s="188">
        <f t="shared" si="44"/>
        <v>75</v>
      </c>
      <c r="L158" s="172">
        <f t="shared" si="44"/>
        <v>14025.8</v>
      </c>
      <c r="M158" s="172">
        <f t="shared" si="44"/>
        <v>2978</v>
      </c>
      <c r="N158" s="172">
        <f t="shared" si="44"/>
        <v>17003.8</v>
      </c>
      <c r="O158" s="178">
        <f t="shared" si="40"/>
        <v>17003.8</v>
      </c>
      <c r="P158" s="92">
        <f t="shared" si="41"/>
        <v>0</v>
      </c>
    </row>
    <row r="159" spans="1:17" ht="31.5" x14ac:dyDescent="0.2">
      <c r="A159" s="42"/>
      <c r="B159" s="168" t="s">
        <v>35</v>
      </c>
      <c r="C159" s="169" t="s">
        <v>184</v>
      </c>
      <c r="D159" s="170" t="s">
        <v>36</v>
      </c>
      <c r="E159" s="171"/>
      <c r="F159" s="172">
        <v>13950.8</v>
      </c>
      <c r="G159" s="172">
        <v>2978</v>
      </c>
      <c r="H159" s="172">
        <f>SUM(F159)+G159</f>
        <v>16928.8</v>
      </c>
      <c r="I159" s="188">
        <v>75</v>
      </c>
      <c r="J159" s="189"/>
      <c r="K159" s="188">
        <f>SUM(I159)</f>
        <v>75</v>
      </c>
      <c r="L159" s="172">
        <f>SUM(F159+I159)</f>
        <v>14025.8</v>
      </c>
      <c r="M159" s="172">
        <f>SUM(J159)+G159</f>
        <v>2978</v>
      </c>
      <c r="N159" s="172">
        <f>SUM(H159+K159)</f>
        <v>17003.8</v>
      </c>
      <c r="O159" s="178">
        <f t="shared" si="40"/>
        <v>17003.8</v>
      </c>
      <c r="P159" s="92">
        <f t="shared" si="41"/>
        <v>0</v>
      </c>
    </row>
    <row r="160" spans="1:17" ht="18.75" x14ac:dyDescent="0.2">
      <c r="A160" s="42"/>
      <c r="B160" s="168" t="s">
        <v>185</v>
      </c>
      <c r="C160" s="169" t="s">
        <v>186</v>
      </c>
      <c r="D160" s="170" t="s">
        <v>26</v>
      </c>
      <c r="E160" s="171"/>
      <c r="F160" s="172">
        <f>F161</f>
        <v>2772.9</v>
      </c>
      <c r="G160" s="172">
        <f>G161</f>
        <v>750</v>
      </c>
      <c r="H160" s="172">
        <f>H161</f>
        <v>3522.9</v>
      </c>
      <c r="I160" s="188">
        <f>I161</f>
        <v>0</v>
      </c>
      <c r="J160" s="189"/>
      <c r="K160" s="188">
        <f>K161</f>
        <v>0</v>
      </c>
      <c r="L160" s="172">
        <f>L161</f>
        <v>2772.9</v>
      </c>
      <c r="M160" s="172">
        <f>M161</f>
        <v>750</v>
      </c>
      <c r="N160" s="172">
        <f>N161</f>
        <v>3522.9</v>
      </c>
      <c r="O160" s="178">
        <f t="shared" si="40"/>
        <v>3522.9</v>
      </c>
      <c r="P160" s="92">
        <f t="shared" si="41"/>
        <v>0</v>
      </c>
    </row>
    <row r="161" spans="1:17" ht="31.5" x14ac:dyDescent="0.2">
      <c r="A161" s="42"/>
      <c r="B161" s="168" t="s">
        <v>35</v>
      </c>
      <c r="C161" s="169" t="s">
        <v>186</v>
      </c>
      <c r="D161" s="170" t="s">
        <v>36</v>
      </c>
      <c r="E161" s="171"/>
      <c r="F161" s="172">
        <v>2772.9</v>
      </c>
      <c r="G161" s="172">
        <v>750</v>
      </c>
      <c r="H161" s="172">
        <f>SUM(F161)+G161</f>
        <v>3522.9</v>
      </c>
      <c r="I161" s="188">
        <v>0</v>
      </c>
      <c r="J161" s="189"/>
      <c r="K161" s="188">
        <v>0</v>
      </c>
      <c r="L161" s="172">
        <f>SUM(F161)</f>
        <v>2772.9</v>
      </c>
      <c r="M161" s="172">
        <f>SUM(G161)</f>
        <v>750</v>
      </c>
      <c r="N161" s="172">
        <f>SUM(L161)+M161</f>
        <v>3522.9</v>
      </c>
      <c r="O161" s="178">
        <f t="shared" si="40"/>
        <v>3522.9</v>
      </c>
      <c r="P161" s="92">
        <f t="shared" si="41"/>
        <v>0</v>
      </c>
      <c r="Q161" s="43"/>
    </row>
    <row r="162" spans="1:17" ht="18.75" x14ac:dyDescent="0.2">
      <c r="A162" s="42"/>
      <c r="B162" s="168" t="s">
        <v>187</v>
      </c>
      <c r="C162" s="169" t="s">
        <v>188</v>
      </c>
      <c r="D162" s="170" t="s">
        <v>26</v>
      </c>
      <c r="E162" s="171"/>
      <c r="F162" s="172">
        <f>F163</f>
        <v>3270</v>
      </c>
      <c r="G162" s="172">
        <f>G163</f>
        <v>8100</v>
      </c>
      <c r="H162" s="172">
        <f>H163</f>
        <v>11370</v>
      </c>
      <c r="I162" s="188">
        <f>I163</f>
        <v>0</v>
      </c>
      <c r="J162" s="189"/>
      <c r="K162" s="188">
        <f>K163</f>
        <v>0</v>
      </c>
      <c r="L162" s="172">
        <f>L163</f>
        <v>3270</v>
      </c>
      <c r="M162" s="172">
        <f>M163</f>
        <v>8100</v>
      </c>
      <c r="N162" s="172">
        <f>N163</f>
        <v>11370</v>
      </c>
      <c r="O162" s="178">
        <f t="shared" si="40"/>
        <v>11370</v>
      </c>
      <c r="P162" s="92">
        <f t="shared" si="41"/>
        <v>0</v>
      </c>
    </row>
    <row r="163" spans="1:17" ht="31.5" x14ac:dyDescent="0.2">
      <c r="A163" s="42"/>
      <c r="B163" s="168" t="s">
        <v>35</v>
      </c>
      <c r="C163" s="169" t="s">
        <v>188</v>
      </c>
      <c r="D163" s="170" t="s">
        <v>36</v>
      </c>
      <c r="E163" s="171"/>
      <c r="F163" s="172">
        <v>3270</v>
      </c>
      <c r="G163" s="172">
        <v>8100</v>
      </c>
      <c r="H163" s="172">
        <f>SUM(F163)+G163</f>
        <v>11370</v>
      </c>
      <c r="I163" s="188">
        <v>0</v>
      </c>
      <c r="J163" s="189"/>
      <c r="K163" s="188">
        <v>0</v>
      </c>
      <c r="L163" s="172">
        <f t="shared" ref="L163:N165" si="45">SUM(F163)</f>
        <v>3270</v>
      </c>
      <c r="M163" s="172">
        <f t="shared" si="45"/>
        <v>8100</v>
      </c>
      <c r="N163" s="172">
        <f t="shared" si="45"/>
        <v>11370</v>
      </c>
      <c r="O163" s="178">
        <f t="shared" si="40"/>
        <v>11370</v>
      </c>
      <c r="P163" s="92">
        <f t="shared" si="41"/>
        <v>0</v>
      </c>
    </row>
    <row r="164" spans="1:17" ht="27" customHeight="1" x14ac:dyDescent="0.2">
      <c r="A164" s="42"/>
      <c r="B164" s="168" t="s">
        <v>189</v>
      </c>
      <c r="C164" s="169" t="s">
        <v>190</v>
      </c>
      <c r="D164" s="170"/>
      <c r="E164" s="171"/>
      <c r="F164" s="172">
        <v>583.6</v>
      </c>
      <c r="G164" s="172">
        <f>G165</f>
        <v>0</v>
      </c>
      <c r="H164" s="172">
        <f>SUM(F164)+G164</f>
        <v>583.6</v>
      </c>
      <c r="I164" s="188"/>
      <c r="J164" s="189"/>
      <c r="K164" s="188"/>
      <c r="L164" s="172">
        <f t="shared" si="45"/>
        <v>583.6</v>
      </c>
      <c r="M164" s="172">
        <f t="shared" si="45"/>
        <v>0</v>
      </c>
      <c r="N164" s="172">
        <f t="shared" si="45"/>
        <v>583.6</v>
      </c>
      <c r="O164" s="178">
        <f t="shared" si="40"/>
        <v>583.6</v>
      </c>
      <c r="P164" s="92">
        <f t="shared" si="41"/>
        <v>0</v>
      </c>
    </row>
    <row r="165" spans="1:17" ht="31.5" x14ac:dyDescent="0.2">
      <c r="A165" s="42"/>
      <c r="B165" s="168" t="s">
        <v>35</v>
      </c>
      <c r="C165" s="169" t="s">
        <v>190</v>
      </c>
      <c r="D165" s="170" t="s">
        <v>36</v>
      </c>
      <c r="E165" s="171"/>
      <c r="F165" s="172">
        <v>583.6</v>
      </c>
      <c r="G165" s="172"/>
      <c r="H165" s="172">
        <f>SUM(F165)+G165</f>
        <v>583.6</v>
      </c>
      <c r="I165" s="188"/>
      <c r="J165" s="189"/>
      <c r="K165" s="188"/>
      <c r="L165" s="172">
        <f t="shared" si="45"/>
        <v>583.6</v>
      </c>
      <c r="M165" s="172">
        <f t="shared" si="45"/>
        <v>0</v>
      </c>
      <c r="N165" s="172">
        <f t="shared" si="45"/>
        <v>583.6</v>
      </c>
      <c r="O165" s="178">
        <f t="shared" si="40"/>
        <v>583.6</v>
      </c>
      <c r="P165" s="92">
        <f t="shared" si="41"/>
        <v>0</v>
      </c>
    </row>
    <row r="166" spans="1:17" ht="18.75" x14ac:dyDescent="0.2">
      <c r="A166" s="42"/>
      <c r="B166" s="202" t="s">
        <v>482</v>
      </c>
      <c r="C166" s="169" t="s">
        <v>481</v>
      </c>
      <c r="D166" s="170"/>
      <c r="E166" s="171"/>
      <c r="F166" s="172"/>
      <c r="G166" s="172"/>
      <c r="H166" s="172"/>
      <c r="I166" s="188">
        <f t="shared" ref="I166:N166" si="46">I167</f>
        <v>3070</v>
      </c>
      <c r="J166" s="188">
        <f t="shared" si="46"/>
        <v>0</v>
      </c>
      <c r="K166" s="188">
        <f t="shared" si="46"/>
        <v>3070</v>
      </c>
      <c r="L166" s="188">
        <f t="shared" si="46"/>
        <v>3070</v>
      </c>
      <c r="M166" s="188">
        <f t="shared" si="46"/>
        <v>0</v>
      </c>
      <c r="N166" s="188">
        <f t="shared" si="46"/>
        <v>3070</v>
      </c>
      <c r="O166" s="178">
        <f t="shared" si="40"/>
        <v>3070</v>
      </c>
      <c r="P166" s="92">
        <f t="shared" si="41"/>
        <v>0</v>
      </c>
    </row>
    <row r="167" spans="1:17" ht="31.5" x14ac:dyDescent="0.2">
      <c r="A167" s="42"/>
      <c r="B167" s="197" t="s">
        <v>35</v>
      </c>
      <c r="C167" s="169" t="s">
        <v>481</v>
      </c>
      <c r="D167" s="170" t="s">
        <v>36</v>
      </c>
      <c r="E167" s="171"/>
      <c r="F167" s="172"/>
      <c r="G167" s="172"/>
      <c r="H167" s="172">
        <f>SUM(G167)</f>
        <v>0</v>
      </c>
      <c r="I167" s="188">
        <v>3070</v>
      </c>
      <c r="J167" s="189"/>
      <c r="K167" s="188">
        <f>SUM(I167:J167)</f>
        <v>3070</v>
      </c>
      <c r="L167" s="172">
        <f>F167+I167</f>
        <v>3070</v>
      </c>
      <c r="M167" s="172">
        <f>G167+J167</f>
        <v>0</v>
      </c>
      <c r="N167" s="172">
        <f>H167+K167</f>
        <v>3070</v>
      </c>
      <c r="O167" s="178">
        <f t="shared" si="40"/>
        <v>3070</v>
      </c>
      <c r="P167" s="92">
        <f t="shared" si="41"/>
        <v>0</v>
      </c>
    </row>
    <row r="168" spans="1:17" ht="31.5" x14ac:dyDescent="0.2">
      <c r="A168" s="42"/>
      <c r="B168" s="168" t="s">
        <v>191</v>
      </c>
      <c r="C168" s="169" t="s">
        <v>192</v>
      </c>
      <c r="D168" s="170" t="s">
        <v>26</v>
      </c>
      <c r="E168" s="171"/>
      <c r="F168" s="172">
        <f>F169</f>
        <v>4252.3999999999996</v>
      </c>
      <c r="G168" s="172">
        <f>G169</f>
        <v>1609.8000000000002</v>
      </c>
      <c r="H168" s="172">
        <f>H169</f>
        <v>5862.2</v>
      </c>
      <c r="I168" s="188">
        <f>I169</f>
        <v>0</v>
      </c>
      <c r="J168" s="189"/>
      <c r="K168" s="188">
        <f>K169</f>
        <v>0</v>
      </c>
      <c r="L168" s="172">
        <f>L169</f>
        <v>4252.3999999999996</v>
      </c>
      <c r="M168" s="172">
        <f>M169</f>
        <v>1609.8000000000002</v>
      </c>
      <c r="N168" s="172">
        <f>N169</f>
        <v>5862.2</v>
      </c>
      <c r="O168" s="178">
        <f t="shared" si="40"/>
        <v>5862.2</v>
      </c>
      <c r="P168" s="92">
        <f t="shared" si="41"/>
        <v>0</v>
      </c>
    </row>
    <row r="169" spans="1:17" ht="31.5" x14ac:dyDescent="0.2">
      <c r="A169" s="42"/>
      <c r="B169" s="168" t="s">
        <v>35</v>
      </c>
      <c r="C169" s="169" t="s">
        <v>192</v>
      </c>
      <c r="D169" s="170" t="s">
        <v>36</v>
      </c>
      <c r="E169" s="171"/>
      <c r="F169" s="172">
        <v>4252.3999999999996</v>
      </c>
      <c r="G169" s="172">
        <f>2000+209.8-600</f>
        <v>1609.8000000000002</v>
      </c>
      <c r="H169" s="172">
        <f>SUM(F169:G169)</f>
        <v>5862.2</v>
      </c>
      <c r="I169" s="188">
        <v>0</v>
      </c>
      <c r="J169" s="189"/>
      <c r="K169" s="188">
        <v>0</v>
      </c>
      <c r="L169" s="172">
        <f>SUM(F169)</f>
        <v>4252.3999999999996</v>
      </c>
      <c r="M169" s="172">
        <f>SUM(G169)</f>
        <v>1609.8000000000002</v>
      </c>
      <c r="N169" s="172">
        <f>SUM(H169)</f>
        <v>5862.2</v>
      </c>
      <c r="O169" s="178">
        <f t="shared" si="40"/>
        <v>5862.2</v>
      </c>
      <c r="P169" s="92">
        <f t="shared" si="41"/>
        <v>0</v>
      </c>
    </row>
    <row r="170" spans="1:17" ht="34.9" customHeight="1" x14ac:dyDescent="0.2">
      <c r="A170" s="42"/>
      <c r="B170" s="168" t="s">
        <v>193</v>
      </c>
      <c r="C170" s="169" t="s">
        <v>194</v>
      </c>
      <c r="D170" s="170" t="s">
        <v>26</v>
      </c>
      <c r="E170" s="171"/>
      <c r="F170" s="172">
        <f>F171</f>
        <v>7140.9</v>
      </c>
      <c r="G170" s="172">
        <f>G171</f>
        <v>550</v>
      </c>
      <c r="H170" s="172">
        <f>H171</f>
        <v>7690.9</v>
      </c>
      <c r="I170" s="188">
        <f>I171</f>
        <v>0</v>
      </c>
      <c r="J170" s="189"/>
      <c r="K170" s="188">
        <f>K171</f>
        <v>0</v>
      </c>
      <c r="L170" s="172">
        <f>L171</f>
        <v>7140.9</v>
      </c>
      <c r="M170" s="172">
        <f>M171</f>
        <v>550</v>
      </c>
      <c r="N170" s="172">
        <f>N171</f>
        <v>7690.9</v>
      </c>
      <c r="O170" s="178">
        <f t="shared" si="40"/>
        <v>7690.9</v>
      </c>
      <c r="P170" s="92">
        <f t="shared" si="41"/>
        <v>0</v>
      </c>
    </row>
    <row r="171" spans="1:17" ht="30.75" customHeight="1" x14ac:dyDescent="0.2">
      <c r="A171" s="42"/>
      <c r="B171" s="168" t="s">
        <v>35</v>
      </c>
      <c r="C171" s="169" t="s">
        <v>194</v>
      </c>
      <c r="D171" s="170" t="s">
        <v>36</v>
      </c>
      <c r="E171" s="171"/>
      <c r="F171" s="172">
        <v>7140.9</v>
      </c>
      <c r="G171" s="172">
        <v>550</v>
      </c>
      <c r="H171" s="172">
        <f>SUM(F171)+G171</f>
        <v>7690.9</v>
      </c>
      <c r="I171" s="188">
        <v>0</v>
      </c>
      <c r="J171" s="189"/>
      <c r="K171" s="188">
        <v>0</v>
      </c>
      <c r="L171" s="172">
        <f>SUM(F171)</f>
        <v>7140.9</v>
      </c>
      <c r="M171" s="172">
        <f>SUM(G171)</f>
        <v>550</v>
      </c>
      <c r="N171" s="172">
        <f>SUM(H171)</f>
        <v>7690.9</v>
      </c>
      <c r="O171" s="178">
        <f t="shared" si="40"/>
        <v>7690.9</v>
      </c>
      <c r="P171" s="92">
        <f t="shared" si="41"/>
        <v>0</v>
      </c>
    </row>
    <row r="172" spans="1:17" ht="18.75" hidden="1" x14ac:dyDescent="0.2">
      <c r="A172" s="42"/>
      <c r="B172" s="168"/>
      <c r="C172" s="169"/>
      <c r="D172" s="170"/>
      <c r="E172" s="171"/>
      <c r="F172" s="172"/>
      <c r="G172" s="172"/>
      <c r="H172" s="172"/>
      <c r="I172" s="188"/>
      <c r="J172" s="189"/>
      <c r="K172" s="189"/>
      <c r="L172" s="172"/>
      <c r="M172" s="172">
        <f t="shared" ref="M172:N175" si="47">SUM(J172)</f>
        <v>0</v>
      </c>
      <c r="N172" s="172">
        <f t="shared" si="47"/>
        <v>0</v>
      </c>
      <c r="O172" s="178">
        <f t="shared" si="40"/>
        <v>0</v>
      </c>
      <c r="P172" s="92">
        <f t="shared" si="41"/>
        <v>0</v>
      </c>
    </row>
    <row r="173" spans="1:17" ht="31.5" hidden="1" x14ac:dyDescent="0.2">
      <c r="A173" s="42"/>
      <c r="B173" s="168" t="s">
        <v>35</v>
      </c>
      <c r="C173" s="169"/>
      <c r="D173" s="170" t="s">
        <v>36</v>
      </c>
      <c r="E173" s="171"/>
      <c r="F173" s="172"/>
      <c r="G173" s="172"/>
      <c r="H173" s="172"/>
      <c r="I173" s="188"/>
      <c r="J173" s="189"/>
      <c r="K173" s="188">
        <f>SUM(J173)</f>
        <v>0</v>
      </c>
      <c r="L173" s="172"/>
      <c r="M173" s="172">
        <f t="shared" si="47"/>
        <v>0</v>
      </c>
      <c r="N173" s="172">
        <f t="shared" si="47"/>
        <v>0</v>
      </c>
      <c r="O173" s="178">
        <f t="shared" si="40"/>
        <v>0</v>
      </c>
      <c r="P173" s="92">
        <f t="shared" si="41"/>
        <v>0</v>
      </c>
    </row>
    <row r="174" spans="1:17" ht="18.75" hidden="1" x14ac:dyDescent="0.2">
      <c r="A174" s="42"/>
      <c r="B174" s="168"/>
      <c r="C174" s="169"/>
      <c r="D174" s="170"/>
      <c r="E174" s="171"/>
      <c r="F174" s="172"/>
      <c r="G174" s="172"/>
      <c r="H174" s="172"/>
      <c r="I174" s="188"/>
      <c r="J174" s="189"/>
      <c r="K174" s="189"/>
      <c r="L174" s="172"/>
      <c r="M174" s="172">
        <f t="shared" si="47"/>
        <v>0</v>
      </c>
      <c r="N174" s="172">
        <f t="shared" si="47"/>
        <v>0</v>
      </c>
      <c r="O174" s="178">
        <f t="shared" si="40"/>
        <v>0</v>
      </c>
      <c r="P174" s="92">
        <f t="shared" si="41"/>
        <v>0</v>
      </c>
    </row>
    <row r="175" spans="1:17" ht="31.5" hidden="1" x14ac:dyDescent="0.2">
      <c r="A175" s="42"/>
      <c r="B175" s="168" t="s">
        <v>35</v>
      </c>
      <c r="C175" s="169"/>
      <c r="D175" s="170" t="s">
        <v>36</v>
      </c>
      <c r="E175" s="171"/>
      <c r="F175" s="172"/>
      <c r="G175" s="172"/>
      <c r="H175" s="172"/>
      <c r="I175" s="188"/>
      <c r="J175" s="189"/>
      <c r="K175" s="189"/>
      <c r="L175" s="172"/>
      <c r="M175" s="172">
        <f t="shared" si="47"/>
        <v>0</v>
      </c>
      <c r="N175" s="172">
        <f t="shared" si="47"/>
        <v>0</v>
      </c>
      <c r="O175" s="178">
        <f t="shared" si="40"/>
        <v>0</v>
      </c>
      <c r="P175" s="92">
        <f t="shared" si="41"/>
        <v>0</v>
      </c>
    </row>
    <row r="176" spans="1:17" ht="52.15" customHeight="1" x14ac:dyDescent="0.2">
      <c r="A176" s="42"/>
      <c r="B176" s="168" t="s">
        <v>477</v>
      </c>
      <c r="C176" s="169" t="s">
        <v>474</v>
      </c>
      <c r="D176" s="170"/>
      <c r="E176" s="171"/>
      <c r="F176" s="172">
        <v>0</v>
      </c>
      <c r="G176" s="172"/>
      <c r="H176" s="172">
        <f>SUM(F176)</f>
        <v>0</v>
      </c>
      <c r="I176" s="189">
        <f>SUM(I177)</f>
        <v>2500.4</v>
      </c>
      <c r="J176" s="189">
        <f>SUM(J177)</f>
        <v>0</v>
      </c>
      <c r="K176" s="189">
        <f>SUM(K177)</f>
        <v>2500.4</v>
      </c>
      <c r="L176" s="172">
        <f>SUM(I176)</f>
        <v>2500.4</v>
      </c>
      <c r="M176" s="172">
        <f>SUM(G176)+J176</f>
        <v>0</v>
      </c>
      <c r="N176" s="172">
        <f>SUM(K176)+H176+M176</f>
        <v>2500.4</v>
      </c>
      <c r="O176" s="178">
        <f t="shared" si="40"/>
        <v>2500.4</v>
      </c>
      <c r="P176" s="92">
        <f t="shared" si="41"/>
        <v>0</v>
      </c>
    </row>
    <row r="177" spans="1:16" ht="31.5" x14ac:dyDescent="0.2">
      <c r="A177" s="42"/>
      <c r="B177" s="168" t="s">
        <v>35</v>
      </c>
      <c r="C177" s="169" t="s">
        <v>474</v>
      </c>
      <c r="D177" s="170" t="s">
        <v>36</v>
      </c>
      <c r="E177" s="171"/>
      <c r="F177" s="172">
        <v>0</v>
      </c>
      <c r="G177" s="172"/>
      <c r="H177" s="172">
        <f>SUM(F177)</f>
        <v>0</v>
      </c>
      <c r="I177" s="188">
        <v>2500.4</v>
      </c>
      <c r="J177" s="189"/>
      <c r="K177" s="189">
        <f>SUM(J177)+I177</f>
        <v>2500.4</v>
      </c>
      <c r="L177" s="172">
        <f>SUM(F177+I177)</f>
        <v>2500.4</v>
      </c>
      <c r="M177" s="172">
        <f>SUM(G177)+J177</f>
        <v>0</v>
      </c>
      <c r="N177" s="172">
        <f>SUM(K177)+H177+M177</f>
        <v>2500.4</v>
      </c>
      <c r="O177" s="178">
        <f t="shared" si="40"/>
        <v>2500.4</v>
      </c>
      <c r="P177" s="92">
        <f t="shared" si="41"/>
        <v>0</v>
      </c>
    </row>
    <row r="178" spans="1:16" ht="18.75" x14ac:dyDescent="0.2">
      <c r="A178" s="42"/>
      <c r="B178" s="168" t="s">
        <v>476</v>
      </c>
      <c r="C178" s="169" t="s">
        <v>475</v>
      </c>
      <c r="D178" s="170"/>
      <c r="E178" s="171"/>
      <c r="F178" s="172"/>
      <c r="G178" s="172"/>
      <c r="H178" s="172">
        <f>SUM(G178)</f>
        <v>0</v>
      </c>
      <c r="I178" s="188">
        <v>4251.8</v>
      </c>
      <c r="J178" s="189"/>
      <c r="K178" s="189">
        <v>4251.8</v>
      </c>
      <c r="L178" s="172">
        <f>SUM(I178)</f>
        <v>4251.8</v>
      </c>
      <c r="M178" s="172">
        <f>SUM(J178)+H178</f>
        <v>0</v>
      </c>
      <c r="N178" s="172">
        <f>SUM(K178)</f>
        <v>4251.8</v>
      </c>
      <c r="O178" s="178">
        <f t="shared" si="40"/>
        <v>4251.8</v>
      </c>
      <c r="P178" s="92">
        <f t="shared" si="41"/>
        <v>0</v>
      </c>
    </row>
    <row r="179" spans="1:16" ht="31.5" x14ac:dyDescent="0.2">
      <c r="A179" s="42"/>
      <c r="B179" s="168" t="s">
        <v>35</v>
      </c>
      <c r="C179" s="169" t="s">
        <v>475</v>
      </c>
      <c r="D179" s="170" t="s">
        <v>36</v>
      </c>
      <c r="E179" s="171"/>
      <c r="F179" s="172"/>
      <c r="G179" s="172"/>
      <c r="H179" s="172">
        <f>SUM(G179)</f>
        <v>0</v>
      </c>
      <c r="I179" s="188">
        <v>4251.8</v>
      </c>
      <c r="J179" s="189"/>
      <c r="K179" s="188">
        <v>4251.8</v>
      </c>
      <c r="L179" s="172">
        <f>SUM(I179)</f>
        <v>4251.8</v>
      </c>
      <c r="M179" s="172">
        <f>SUM(J179)+H179</f>
        <v>0</v>
      </c>
      <c r="N179" s="172">
        <f>SUM(K179)</f>
        <v>4251.8</v>
      </c>
      <c r="O179" s="178">
        <f t="shared" si="40"/>
        <v>4251.8</v>
      </c>
      <c r="P179" s="92">
        <f t="shared" si="41"/>
        <v>0</v>
      </c>
    </row>
    <row r="180" spans="1:16" ht="96" customHeight="1" x14ac:dyDescent="0.2">
      <c r="A180" s="42"/>
      <c r="B180" s="168" t="s">
        <v>493</v>
      </c>
      <c r="C180" s="169" t="s">
        <v>452</v>
      </c>
      <c r="D180" s="170"/>
      <c r="E180" s="171"/>
      <c r="F180" s="172">
        <f>SUM(F181)</f>
        <v>66.400000000000006</v>
      </c>
      <c r="G180" s="172">
        <f>SUM(G181)</f>
        <v>0</v>
      </c>
      <c r="H180" s="172">
        <f>SUM(F180)</f>
        <v>66.400000000000006</v>
      </c>
      <c r="I180" s="188">
        <f>SUM(I181)</f>
        <v>1260</v>
      </c>
      <c r="J180" s="189">
        <f>SUM(J181)</f>
        <v>0</v>
      </c>
      <c r="K180" s="188">
        <f>SUM(I180)</f>
        <v>1260</v>
      </c>
      <c r="L180" s="172">
        <f>SUM(F180+I180)</f>
        <v>1326.4</v>
      </c>
      <c r="M180" s="172">
        <f>SUM(J180)+G180</f>
        <v>0</v>
      </c>
      <c r="N180" s="172">
        <f>SUM(K180)+H180</f>
        <v>1326.4</v>
      </c>
      <c r="O180" s="178">
        <f t="shared" si="40"/>
        <v>1326.4</v>
      </c>
      <c r="P180" s="92">
        <f t="shared" si="41"/>
        <v>0</v>
      </c>
    </row>
    <row r="181" spans="1:16" ht="35.450000000000003" customHeight="1" x14ac:dyDescent="0.2">
      <c r="A181" s="42"/>
      <c r="B181" s="168" t="s">
        <v>35</v>
      </c>
      <c r="C181" s="169" t="s">
        <v>452</v>
      </c>
      <c r="D181" s="170" t="s">
        <v>36</v>
      </c>
      <c r="E181" s="171"/>
      <c r="F181" s="172">
        <v>66.400000000000006</v>
      </c>
      <c r="G181" s="172"/>
      <c r="H181" s="172">
        <f>SUM(F181)</f>
        <v>66.400000000000006</v>
      </c>
      <c r="I181" s="188">
        <v>1260</v>
      </c>
      <c r="J181" s="189"/>
      <c r="K181" s="188">
        <f>SUM(I181)</f>
        <v>1260</v>
      </c>
      <c r="L181" s="172">
        <f>SUM(F181+I181)</f>
        <v>1326.4</v>
      </c>
      <c r="M181" s="172">
        <f>SUM(J181)+G181</f>
        <v>0</v>
      </c>
      <c r="N181" s="172">
        <f>SUM(K181)+H181</f>
        <v>1326.4</v>
      </c>
      <c r="O181" s="178">
        <f t="shared" si="40"/>
        <v>1326.4</v>
      </c>
      <c r="P181" s="92">
        <f t="shared" si="41"/>
        <v>0</v>
      </c>
    </row>
    <row r="182" spans="1:16" ht="18.75" hidden="1" x14ac:dyDescent="0.2">
      <c r="A182" s="42"/>
      <c r="B182" s="168"/>
      <c r="C182" s="169" t="s">
        <v>317</v>
      </c>
      <c r="D182" s="170"/>
      <c r="E182" s="171"/>
      <c r="F182" s="172"/>
      <c r="G182" s="172"/>
      <c r="H182" s="172"/>
      <c r="I182" s="188"/>
      <c r="J182" s="189"/>
      <c r="K182" s="188"/>
      <c r="L182" s="172"/>
      <c r="M182" s="172"/>
      <c r="N182" s="172"/>
      <c r="O182" s="178">
        <f t="shared" si="40"/>
        <v>0</v>
      </c>
      <c r="P182" s="92">
        <f t="shared" si="41"/>
        <v>0</v>
      </c>
    </row>
    <row r="183" spans="1:16" ht="18.75" hidden="1" x14ac:dyDescent="0.2">
      <c r="A183" s="42"/>
      <c r="B183" s="168"/>
      <c r="C183" s="169" t="s">
        <v>319</v>
      </c>
      <c r="D183" s="170"/>
      <c r="E183" s="171"/>
      <c r="F183" s="172"/>
      <c r="G183" s="172"/>
      <c r="H183" s="172"/>
      <c r="I183" s="188"/>
      <c r="J183" s="189"/>
      <c r="K183" s="188"/>
      <c r="L183" s="172"/>
      <c r="M183" s="172"/>
      <c r="N183" s="172"/>
      <c r="O183" s="178">
        <f t="shared" si="40"/>
        <v>0</v>
      </c>
      <c r="P183" s="92">
        <f t="shared" si="41"/>
        <v>0</v>
      </c>
    </row>
    <row r="184" spans="1:16" ht="18.75" hidden="1" x14ac:dyDescent="0.2">
      <c r="A184" s="42"/>
      <c r="B184" s="168"/>
      <c r="C184" s="169" t="s">
        <v>466</v>
      </c>
      <c r="D184" s="170"/>
      <c r="E184" s="171"/>
      <c r="F184" s="172"/>
      <c r="G184" s="172"/>
      <c r="H184" s="172"/>
      <c r="I184" s="188"/>
      <c r="J184" s="189"/>
      <c r="K184" s="188"/>
      <c r="L184" s="172"/>
      <c r="M184" s="172"/>
      <c r="N184" s="172"/>
      <c r="O184" s="178">
        <f t="shared" si="40"/>
        <v>0</v>
      </c>
      <c r="P184" s="92">
        <f t="shared" si="41"/>
        <v>0</v>
      </c>
    </row>
    <row r="185" spans="1:16" ht="31.5" hidden="1" x14ac:dyDescent="0.2">
      <c r="A185" s="42"/>
      <c r="B185" s="168" t="s">
        <v>35</v>
      </c>
      <c r="C185" s="169" t="s">
        <v>467</v>
      </c>
      <c r="D185" s="170" t="s">
        <v>36</v>
      </c>
      <c r="E185" s="171"/>
      <c r="F185" s="172"/>
      <c r="G185" s="172"/>
      <c r="H185" s="172"/>
      <c r="I185" s="188"/>
      <c r="J185" s="189"/>
      <c r="K185" s="188"/>
      <c r="L185" s="172"/>
      <c r="M185" s="172"/>
      <c r="N185" s="172"/>
      <c r="O185" s="178">
        <f t="shared" si="40"/>
        <v>0</v>
      </c>
      <c r="P185" s="92">
        <f t="shared" si="41"/>
        <v>0</v>
      </c>
    </row>
    <row r="186" spans="1:16" ht="21.6" customHeight="1" x14ac:dyDescent="0.2">
      <c r="A186" s="49"/>
      <c r="B186" s="190" t="s">
        <v>195</v>
      </c>
      <c r="C186" s="191" t="s">
        <v>196</v>
      </c>
      <c r="D186" s="192" t="s">
        <v>26</v>
      </c>
      <c r="E186" s="193"/>
      <c r="F186" s="194">
        <f t="shared" ref="F186:N186" si="48">F187</f>
        <v>6922.1</v>
      </c>
      <c r="G186" s="194">
        <f t="shared" si="48"/>
        <v>792.7</v>
      </c>
      <c r="H186" s="194">
        <f t="shared" si="48"/>
        <v>7714.8</v>
      </c>
      <c r="I186" s="195">
        <f t="shared" si="48"/>
        <v>0</v>
      </c>
      <c r="J186" s="194">
        <f t="shared" si="48"/>
        <v>0</v>
      </c>
      <c r="K186" s="195">
        <f t="shared" si="48"/>
        <v>0</v>
      </c>
      <c r="L186" s="194">
        <f t="shared" si="48"/>
        <v>6922.1</v>
      </c>
      <c r="M186" s="194">
        <f t="shared" si="48"/>
        <v>792.7</v>
      </c>
      <c r="N186" s="194">
        <f t="shared" si="48"/>
        <v>7714.8</v>
      </c>
      <c r="O186" s="178">
        <f t="shared" si="40"/>
        <v>7714.8</v>
      </c>
      <c r="P186" s="92">
        <f t="shared" si="41"/>
        <v>0</v>
      </c>
    </row>
    <row r="187" spans="1:16" ht="31.5" x14ac:dyDescent="0.2">
      <c r="A187" s="42"/>
      <c r="B187" s="168" t="s">
        <v>197</v>
      </c>
      <c r="C187" s="169" t="s">
        <v>198</v>
      </c>
      <c r="D187" s="170" t="s">
        <v>26</v>
      </c>
      <c r="E187" s="171"/>
      <c r="F187" s="172">
        <f>F188+F190</f>
        <v>6922.1</v>
      </c>
      <c r="G187" s="172">
        <f>G188+G190</f>
        <v>792.7</v>
      </c>
      <c r="H187" s="172">
        <f>H188+H190</f>
        <v>7714.8</v>
      </c>
      <c r="I187" s="188">
        <f>I188+I190</f>
        <v>0</v>
      </c>
      <c r="J187" s="189"/>
      <c r="K187" s="188">
        <f>K188+K190</f>
        <v>0</v>
      </c>
      <c r="L187" s="172">
        <f>L188+L190</f>
        <v>6922.1</v>
      </c>
      <c r="M187" s="172">
        <f>M188+M190</f>
        <v>792.7</v>
      </c>
      <c r="N187" s="172">
        <f>N188+N190</f>
        <v>7714.8</v>
      </c>
      <c r="O187" s="178">
        <f t="shared" si="40"/>
        <v>7714.8</v>
      </c>
      <c r="P187" s="92">
        <f t="shared" si="41"/>
        <v>0</v>
      </c>
    </row>
    <row r="188" spans="1:16" ht="31.9" customHeight="1" x14ac:dyDescent="0.2">
      <c r="A188" s="42"/>
      <c r="B188" s="168" t="s">
        <v>199</v>
      </c>
      <c r="C188" s="169" t="s">
        <v>200</v>
      </c>
      <c r="D188" s="170" t="s">
        <v>26</v>
      </c>
      <c r="E188" s="171"/>
      <c r="F188" s="172">
        <f>F189</f>
        <v>2400</v>
      </c>
      <c r="G188" s="172">
        <f>G189</f>
        <v>711.7</v>
      </c>
      <c r="H188" s="172">
        <f>H189</f>
        <v>3111.7</v>
      </c>
      <c r="I188" s="188">
        <f>I189</f>
        <v>0</v>
      </c>
      <c r="J188" s="189"/>
      <c r="K188" s="188">
        <f>K189</f>
        <v>0</v>
      </c>
      <c r="L188" s="172">
        <f>L189</f>
        <v>2400</v>
      </c>
      <c r="M188" s="172">
        <f>M189</f>
        <v>711.7</v>
      </c>
      <c r="N188" s="172">
        <f>N189</f>
        <v>3111.7</v>
      </c>
      <c r="O188" s="178">
        <f t="shared" si="40"/>
        <v>3111.7</v>
      </c>
      <c r="P188" s="92">
        <f t="shared" si="41"/>
        <v>0</v>
      </c>
    </row>
    <row r="189" spans="1:16" ht="31.5" x14ac:dyDescent="0.2">
      <c r="A189" s="42"/>
      <c r="B189" s="168" t="s">
        <v>35</v>
      </c>
      <c r="C189" s="169" t="s">
        <v>200</v>
      </c>
      <c r="D189" s="170" t="s">
        <v>36</v>
      </c>
      <c r="E189" s="171"/>
      <c r="F189" s="172">
        <v>2400</v>
      </c>
      <c r="G189" s="172">
        <v>711.7</v>
      </c>
      <c r="H189" s="172">
        <f>SUM(F189:G189)</f>
        <v>3111.7</v>
      </c>
      <c r="I189" s="188">
        <v>0</v>
      </c>
      <c r="J189" s="189"/>
      <c r="K189" s="188">
        <v>0</v>
      </c>
      <c r="L189" s="172">
        <f>F189+I189</f>
        <v>2400</v>
      </c>
      <c r="M189" s="172">
        <f>G189+J189</f>
        <v>711.7</v>
      </c>
      <c r="N189" s="172">
        <f>H189+K189</f>
        <v>3111.7</v>
      </c>
      <c r="O189" s="178">
        <f t="shared" si="40"/>
        <v>3111.7</v>
      </c>
      <c r="P189" s="92">
        <f t="shared" si="41"/>
        <v>0</v>
      </c>
    </row>
    <row r="190" spans="1:16" ht="31.5" x14ac:dyDescent="0.2">
      <c r="A190" s="42"/>
      <c r="B190" s="168" t="s">
        <v>201</v>
      </c>
      <c r="C190" s="169" t="s">
        <v>202</v>
      </c>
      <c r="D190" s="170" t="s">
        <v>26</v>
      </c>
      <c r="E190" s="171"/>
      <c r="F190" s="172">
        <f>F191</f>
        <v>4522.1000000000004</v>
      </c>
      <c r="G190" s="172">
        <f>G191</f>
        <v>81</v>
      </c>
      <c r="H190" s="172">
        <f>H191</f>
        <v>4603.1000000000004</v>
      </c>
      <c r="I190" s="188">
        <f>I191</f>
        <v>0</v>
      </c>
      <c r="J190" s="189"/>
      <c r="K190" s="188">
        <f>K191</f>
        <v>0</v>
      </c>
      <c r="L190" s="172">
        <f>L191</f>
        <v>4522.1000000000004</v>
      </c>
      <c r="M190" s="172">
        <f>M191</f>
        <v>81</v>
      </c>
      <c r="N190" s="172">
        <f>N191</f>
        <v>4603.1000000000004</v>
      </c>
      <c r="O190" s="178">
        <f t="shared" si="40"/>
        <v>4603.1000000000004</v>
      </c>
      <c r="P190" s="92">
        <f t="shared" si="41"/>
        <v>0</v>
      </c>
    </row>
    <row r="191" spans="1:16" ht="31.5" x14ac:dyDescent="0.2">
      <c r="A191" s="42"/>
      <c r="B191" s="168" t="s">
        <v>35</v>
      </c>
      <c r="C191" s="169" t="s">
        <v>202</v>
      </c>
      <c r="D191" s="170" t="s">
        <v>36</v>
      </c>
      <c r="E191" s="171"/>
      <c r="F191" s="172">
        <v>4522.1000000000004</v>
      </c>
      <c r="G191" s="172">
        <v>81</v>
      </c>
      <c r="H191" s="172">
        <f>SUM(F191)+G191</f>
        <v>4603.1000000000004</v>
      </c>
      <c r="I191" s="188">
        <v>0</v>
      </c>
      <c r="J191" s="189"/>
      <c r="K191" s="188">
        <v>0</v>
      </c>
      <c r="L191" s="172">
        <f>SUM(F191)</f>
        <v>4522.1000000000004</v>
      </c>
      <c r="M191" s="172">
        <f>SUM(G191)</f>
        <v>81</v>
      </c>
      <c r="N191" s="172">
        <f>SUM(H191)</f>
        <v>4603.1000000000004</v>
      </c>
      <c r="O191" s="178">
        <f t="shared" si="40"/>
        <v>4603.1000000000004</v>
      </c>
      <c r="P191" s="92">
        <f t="shared" si="41"/>
        <v>0</v>
      </c>
    </row>
    <row r="192" spans="1:16" ht="18.75" x14ac:dyDescent="0.2">
      <c r="A192" s="49"/>
      <c r="B192" s="190" t="s">
        <v>203</v>
      </c>
      <c r="C192" s="191" t="s">
        <v>204</v>
      </c>
      <c r="D192" s="192" t="s">
        <v>26</v>
      </c>
      <c r="E192" s="193"/>
      <c r="F192" s="194">
        <f>F193+F196+F206+F203</f>
        <v>139990.70000000001</v>
      </c>
      <c r="G192" s="194">
        <f>G193+G196+G206+G203</f>
        <v>3014.8999999999996</v>
      </c>
      <c r="H192" s="194">
        <f>H193+H196+H206+H203</f>
        <v>143005.6</v>
      </c>
      <c r="I192" s="195">
        <f>I193+I196</f>
        <v>0</v>
      </c>
      <c r="J192" s="194">
        <f>J193+J196</f>
        <v>0</v>
      </c>
      <c r="K192" s="195">
        <f>K193+K196</f>
        <v>0</v>
      </c>
      <c r="L192" s="194">
        <f>L193+L196+L206+L203</f>
        <v>139990.70000000001</v>
      </c>
      <c r="M192" s="194">
        <f>M193+M196+M206+M203</f>
        <v>3014.8999999999996</v>
      </c>
      <c r="N192" s="194">
        <f>N193+N196+N206+N203</f>
        <v>143005.6</v>
      </c>
      <c r="O192" s="178">
        <f t="shared" si="40"/>
        <v>143005.6</v>
      </c>
      <c r="P192" s="92">
        <f t="shared" si="41"/>
        <v>0</v>
      </c>
    </row>
    <row r="193" spans="1:16" ht="31.5" x14ac:dyDescent="0.2">
      <c r="A193" s="42"/>
      <c r="B193" s="168" t="s">
        <v>205</v>
      </c>
      <c r="C193" s="169" t="s">
        <v>206</v>
      </c>
      <c r="D193" s="170" t="s">
        <v>26</v>
      </c>
      <c r="E193" s="171"/>
      <c r="F193" s="172">
        <f t="shared" ref="F193:N194" si="49">F194</f>
        <v>8699.1</v>
      </c>
      <c r="G193" s="172">
        <f t="shared" si="49"/>
        <v>0</v>
      </c>
      <c r="H193" s="172">
        <f t="shared" si="49"/>
        <v>8699.1</v>
      </c>
      <c r="I193" s="188">
        <f t="shared" si="49"/>
        <v>0</v>
      </c>
      <c r="J193" s="189"/>
      <c r="K193" s="188">
        <f t="shared" si="49"/>
        <v>0</v>
      </c>
      <c r="L193" s="172">
        <f t="shared" si="49"/>
        <v>8699.1</v>
      </c>
      <c r="M193" s="172">
        <f t="shared" si="49"/>
        <v>0</v>
      </c>
      <c r="N193" s="172">
        <f t="shared" si="49"/>
        <v>8699.1</v>
      </c>
      <c r="O193" s="178">
        <f t="shared" si="40"/>
        <v>8699.1</v>
      </c>
      <c r="P193" s="92">
        <f t="shared" si="41"/>
        <v>0</v>
      </c>
    </row>
    <row r="194" spans="1:16" ht="31.5" x14ac:dyDescent="0.2">
      <c r="A194" s="42"/>
      <c r="B194" s="168" t="s">
        <v>39</v>
      </c>
      <c r="C194" s="169" t="s">
        <v>207</v>
      </c>
      <c r="D194" s="170" t="s">
        <v>26</v>
      </c>
      <c r="E194" s="171"/>
      <c r="F194" s="172">
        <f t="shared" si="49"/>
        <v>8699.1</v>
      </c>
      <c r="G194" s="172">
        <f t="shared" si="49"/>
        <v>0</v>
      </c>
      <c r="H194" s="172">
        <f t="shared" si="49"/>
        <v>8699.1</v>
      </c>
      <c r="I194" s="188">
        <f t="shared" si="49"/>
        <v>0</v>
      </c>
      <c r="J194" s="189"/>
      <c r="K194" s="188">
        <f t="shared" si="49"/>
        <v>0</v>
      </c>
      <c r="L194" s="172">
        <f t="shared" si="49"/>
        <v>8699.1</v>
      </c>
      <c r="M194" s="172">
        <f t="shared" si="49"/>
        <v>0</v>
      </c>
      <c r="N194" s="172">
        <f t="shared" si="49"/>
        <v>8699.1</v>
      </c>
      <c r="O194" s="178">
        <f t="shared" si="40"/>
        <v>8699.1</v>
      </c>
      <c r="P194" s="92">
        <f t="shared" si="41"/>
        <v>0</v>
      </c>
    </row>
    <row r="195" spans="1:16" ht="31.5" x14ac:dyDescent="0.2">
      <c r="A195" s="42"/>
      <c r="B195" s="168" t="s">
        <v>74</v>
      </c>
      <c r="C195" s="169" t="s">
        <v>207</v>
      </c>
      <c r="D195" s="170" t="s">
        <v>75</v>
      </c>
      <c r="E195" s="171"/>
      <c r="F195" s="172">
        <v>8699.1</v>
      </c>
      <c r="G195" s="172"/>
      <c r="H195" s="172">
        <f>SUM(F195)</f>
        <v>8699.1</v>
      </c>
      <c r="I195" s="188">
        <v>0</v>
      </c>
      <c r="J195" s="189"/>
      <c r="K195" s="188">
        <v>0</v>
      </c>
      <c r="L195" s="172">
        <f>SUM(F195)</f>
        <v>8699.1</v>
      </c>
      <c r="M195" s="172">
        <f>SUM(G195)</f>
        <v>0</v>
      </c>
      <c r="N195" s="172">
        <f>SUM(L195)</f>
        <v>8699.1</v>
      </c>
      <c r="O195" s="178">
        <f t="shared" si="40"/>
        <v>8699.1</v>
      </c>
      <c r="P195" s="92">
        <f t="shared" si="41"/>
        <v>0</v>
      </c>
    </row>
    <row r="196" spans="1:16" ht="36" customHeight="1" x14ac:dyDescent="0.2">
      <c r="A196" s="42"/>
      <c r="B196" s="168" t="s">
        <v>208</v>
      </c>
      <c r="C196" s="169" t="s">
        <v>209</v>
      </c>
      <c r="D196" s="170" t="s">
        <v>26</v>
      </c>
      <c r="E196" s="171"/>
      <c r="F196" s="172">
        <f>F197+F199+F201</f>
        <v>121024.8</v>
      </c>
      <c r="G196" s="172">
        <f>SUM(G201)+G197+G199</f>
        <v>0</v>
      </c>
      <c r="H196" s="172">
        <f>H197+H199+H201</f>
        <v>121024.8</v>
      </c>
      <c r="I196" s="188">
        <f t="shared" ref="F196:N197" si="50">I197</f>
        <v>0</v>
      </c>
      <c r="J196" s="189"/>
      <c r="K196" s="188">
        <f t="shared" si="50"/>
        <v>0</v>
      </c>
      <c r="L196" s="172">
        <f>L197+L199+L201</f>
        <v>121024.8</v>
      </c>
      <c r="M196" s="172">
        <f>SUM(M201)+M197+M199</f>
        <v>0</v>
      </c>
      <c r="N196" s="172">
        <f>N197+N199+N201</f>
        <v>121024.8</v>
      </c>
      <c r="O196" s="178">
        <f t="shared" si="40"/>
        <v>121024.8</v>
      </c>
      <c r="P196" s="92">
        <f t="shared" si="41"/>
        <v>0</v>
      </c>
    </row>
    <row r="197" spans="1:16" ht="31.5" x14ac:dyDescent="0.2">
      <c r="A197" s="42"/>
      <c r="B197" s="168" t="s">
        <v>39</v>
      </c>
      <c r="C197" s="169" t="s">
        <v>210</v>
      </c>
      <c r="D197" s="170" t="s">
        <v>26</v>
      </c>
      <c r="E197" s="171"/>
      <c r="F197" s="172">
        <f t="shared" si="50"/>
        <v>117945.8</v>
      </c>
      <c r="G197" s="172">
        <f t="shared" si="50"/>
        <v>0</v>
      </c>
      <c r="H197" s="172">
        <f t="shared" si="50"/>
        <v>117945.8</v>
      </c>
      <c r="I197" s="188">
        <f t="shared" si="50"/>
        <v>0</v>
      </c>
      <c r="J197" s="189"/>
      <c r="K197" s="188">
        <f t="shared" si="50"/>
        <v>0</v>
      </c>
      <c r="L197" s="172">
        <f t="shared" si="50"/>
        <v>117945.8</v>
      </c>
      <c r="M197" s="172">
        <f t="shared" si="50"/>
        <v>0</v>
      </c>
      <c r="N197" s="172">
        <f t="shared" si="50"/>
        <v>117945.8</v>
      </c>
      <c r="O197" s="178">
        <f t="shared" si="40"/>
        <v>117945.8</v>
      </c>
      <c r="P197" s="92">
        <f t="shared" si="41"/>
        <v>0</v>
      </c>
    </row>
    <row r="198" spans="1:16" ht="30.75" customHeight="1" x14ac:dyDescent="0.2">
      <c r="A198" s="42"/>
      <c r="B198" s="168" t="s">
        <v>74</v>
      </c>
      <c r="C198" s="169" t="s">
        <v>210</v>
      </c>
      <c r="D198" s="170" t="s">
        <v>75</v>
      </c>
      <c r="E198" s="171"/>
      <c r="F198" s="172">
        <v>117945.8</v>
      </c>
      <c r="G198" s="172"/>
      <c r="H198" s="172">
        <f>SUM(F198+G198)</f>
        <v>117945.8</v>
      </c>
      <c r="I198" s="188">
        <v>0</v>
      </c>
      <c r="J198" s="189"/>
      <c r="K198" s="188">
        <v>0</v>
      </c>
      <c r="L198" s="172">
        <f>SUM(F197)</f>
        <v>117945.8</v>
      </c>
      <c r="M198" s="172">
        <f>SUM(G198)</f>
        <v>0</v>
      </c>
      <c r="N198" s="172">
        <f>SUM(H198)</f>
        <v>117945.8</v>
      </c>
      <c r="O198" s="178">
        <f t="shared" si="40"/>
        <v>117945.8</v>
      </c>
      <c r="P198" s="92">
        <f t="shared" si="41"/>
        <v>0</v>
      </c>
    </row>
    <row r="199" spans="1:16" ht="31.5" customHeight="1" x14ac:dyDescent="0.2">
      <c r="A199" s="42"/>
      <c r="B199" s="168" t="s">
        <v>211</v>
      </c>
      <c r="C199" s="169" t="s">
        <v>212</v>
      </c>
      <c r="D199" s="170"/>
      <c r="E199" s="171"/>
      <c r="F199" s="172">
        <v>779</v>
      </c>
      <c r="G199" s="172"/>
      <c r="H199" s="172">
        <f>SUM(F199)</f>
        <v>779</v>
      </c>
      <c r="I199" s="188"/>
      <c r="J199" s="189"/>
      <c r="K199" s="188"/>
      <c r="L199" s="172">
        <f>SUM(F200)</f>
        <v>779</v>
      </c>
      <c r="M199" s="172">
        <f>SUM(G199)</f>
        <v>0</v>
      </c>
      <c r="N199" s="172">
        <f>SUM(L199)</f>
        <v>779</v>
      </c>
      <c r="O199" s="178">
        <f t="shared" si="40"/>
        <v>779</v>
      </c>
      <c r="P199" s="92">
        <f t="shared" si="41"/>
        <v>0</v>
      </c>
    </row>
    <row r="200" spans="1:16" ht="33.75" customHeight="1" x14ac:dyDescent="0.2">
      <c r="A200" s="42"/>
      <c r="B200" s="168" t="s">
        <v>74</v>
      </c>
      <c r="C200" s="169" t="s">
        <v>212</v>
      </c>
      <c r="D200" s="170" t="s">
        <v>75</v>
      </c>
      <c r="E200" s="171"/>
      <c r="F200" s="172">
        <v>779</v>
      </c>
      <c r="G200" s="172"/>
      <c r="H200" s="172">
        <f>SUM(F200)</f>
        <v>779</v>
      </c>
      <c r="I200" s="188"/>
      <c r="J200" s="189"/>
      <c r="K200" s="188"/>
      <c r="L200" s="172">
        <f t="shared" ref="L200:N208" si="51">SUM(F200)</f>
        <v>779</v>
      </c>
      <c r="M200" s="172">
        <f>SUM(G200)</f>
        <v>0</v>
      </c>
      <c r="N200" s="172">
        <f>SUM(L200)</f>
        <v>779</v>
      </c>
      <c r="O200" s="178">
        <f t="shared" si="40"/>
        <v>779</v>
      </c>
      <c r="P200" s="92">
        <f t="shared" si="41"/>
        <v>0</v>
      </c>
    </row>
    <row r="201" spans="1:16" ht="31.5" customHeight="1" x14ac:dyDescent="0.2">
      <c r="A201" s="42"/>
      <c r="B201" s="203" t="s">
        <v>78</v>
      </c>
      <c r="C201" s="169" t="s">
        <v>213</v>
      </c>
      <c r="D201" s="170"/>
      <c r="E201" s="171"/>
      <c r="F201" s="172">
        <v>2300</v>
      </c>
      <c r="G201" s="172">
        <f>SUM(G202)</f>
        <v>0</v>
      </c>
      <c r="H201" s="172">
        <f>SUM(H202)</f>
        <v>2300</v>
      </c>
      <c r="I201" s="188"/>
      <c r="J201" s="189"/>
      <c r="K201" s="188"/>
      <c r="L201" s="172">
        <f t="shared" si="51"/>
        <v>2300</v>
      </c>
      <c r="M201" s="172">
        <f t="shared" si="51"/>
        <v>0</v>
      </c>
      <c r="N201" s="172">
        <f t="shared" si="51"/>
        <v>2300</v>
      </c>
      <c r="O201" s="178">
        <f t="shared" si="40"/>
        <v>2300</v>
      </c>
      <c r="P201" s="92">
        <f t="shared" si="41"/>
        <v>0</v>
      </c>
    </row>
    <row r="202" spans="1:16" ht="31.5" customHeight="1" x14ac:dyDescent="0.2">
      <c r="A202" s="42"/>
      <c r="B202" s="168" t="s">
        <v>74</v>
      </c>
      <c r="C202" s="169" t="s">
        <v>213</v>
      </c>
      <c r="D202" s="170" t="s">
        <v>75</v>
      </c>
      <c r="E202" s="171"/>
      <c r="F202" s="172">
        <v>2300</v>
      </c>
      <c r="G202" s="172"/>
      <c r="H202" s="172">
        <f>SUM(F202)</f>
        <v>2300</v>
      </c>
      <c r="I202" s="188"/>
      <c r="J202" s="189"/>
      <c r="K202" s="188"/>
      <c r="L202" s="172">
        <f t="shared" si="51"/>
        <v>2300</v>
      </c>
      <c r="M202" s="172">
        <f t="shared" si="51"/>
        <v>0</v>
      </c>
      <c r="N202" s="172">
        <f t="shared" si="51"/>
        <v>2300</v>
      </c>
      <c r="O202" s="178">
        <f t="shared" si="40"/>
        <v>2300</v>
      </c>
      <c r="P202" s="92">
        <f t="shared" si="41"/>
        <v>0</v>
      </c>
    </row>
    <row r="203" spans="1:16" ht="57" customHeight="1" x14ac:dyDescent="0.2">
      <c r="A203" s="42"/>
      <c r="B203" s="198" t="s">
        <v>471</v>
      </c>
      <c r="C203" s="169" t="s">
        <v>469</v>
      </c>
      <c r="D203" s="170"/>
      <c r="E203" s="171"/>
      <c r="F203" s="172">
        <f>SUM(F204)</f>
        <v>3350</v>
      </c>
      <c r="G203" s="172">
        <f>SUM(G204)</f>
        <v>0</v>
      </c>
      <c r="H203" s="172">
        <f>SUM(H204)</f>
        <v>3350</v>
      </c>
      <c r="I203" s="188"/>
      <c r="J203" s="189"/>
      <c r="K203" s="188"/>
      <c r="L203" s="172">
        <f t="shared" si="51"/>
        <v>3350</v>
      </c>
      <c r="M203" s="172">
        <f t="shared" si="51"/>
        <v>0</v>
      </c>
      <c r="N203" s="172">
        <f t="shared" si="51"/>
        <v>3350</v>
      </c>
      <c r="O203" s="178">
        <f t="shared" si="40"/>
        <v>3350</v>
      </c>
      <c r="P203" s="92">
        <f t="shared" si="41"/>
        <v>0</v>
      </c>
    </row>
    <row r="204" spans="1:16" ht="52.9" customHeight="1" x14ac:dyDescent="0.2">
      <c r="A204" s="42"/>
      <c r="B204" s="158" t="s">
        <v>480</v>
      </c>
      <c r="C204" s="169" t="s">
        <v>470</v>
      </c>
      <c r="D204" s="170"/>
      <c r="E204" s="171"/>
      <c r="F204" s="172">
        <f>SUM(F205)</f>
        <v>3350</v>
      </c>
      <c r="G204" s="172">
        <f>SUM(G205)</f>
        <v>0</v>
      </c>
      <c r="H204" s="172">
        <f>SUM(F204)+G204</f>
        <v>3350</v>
      </c>
      <c r="I204" s="188"/>
      <c r="J204" s="189"/>
      <c r="K204" s="188"/>
      <c r="L204" s="172">
        <f t="shared" si="51"/>
        <v>3350</v>
      </c>
      <c r="M204" s="172">
        <f t="shared" si="51"/>
        <v>0</v>
      </c>
      <c r="N204" s="172">
        <f t="shared" si="51"/>
        <v>3350</v>
      </c>
      <c r="O204" s="178">
        <f t="shared" si="40"/>
        <v>3350</v>
      </c>
      <c r="P204" s="92">
        <f t="shared" si="41"/>
        <v>0</v>
      </c>
    </row>
    <row r="205" spans="1:16" ht="31.5" customHeight="1" x14ac:dyDescent="0.2">
      <c r="A205" s="42"/>
      <c r="B205" s="168" t="s">
        <v>74</v>
      </c>
      <c r="C205" s="169" t="s">
        <v>470</v>
      </c>
      <c r="D205" s="170" t="s">
        <v>42</v>
      </c>
      <c r="E205" s="171"/>
      <c r="F205" s="172">
        <v>3350</v>
      </c>
      <c r="G205" s="172"/>
      <c r="H205" s="172">
        <f>SUM(F205)+G205</f>
        <v>3350</v>
      </c>
      <c r="I205" s="188"/>
      <c r="J205" s="189"/>
      <c r="K205" s="188"/>
      <c r="L205" s="172">
        <f t="shared" si="51"/>
        <v>3350</v>
      </c>
      <c r="M205" s="172">
        <f t="shared" si="51"/>
        <v>0</v>
      </c>
      <c r="N205" s="172">
        <f t="shared" si="51"/>
        <v>3350</v>
      </c>
      <c r="O205" s="178">
        <f t="shared" si="40"/>
        <v>3350</v>
      </c>
      <c r="P205" s="92">
        <f t="shared" si="41"/>
        <v>0</v>
      </c>
    </row>
    <row r="206" spans="1:16" ht="49.5" customHeight="1" x14ac:dyDescent="0.2">
      <c r="A206" s="42"/>
      <c r="B206" s="204" t="s">
        <v>214</v>
      </c>
      <c r="C206" s="169" t="s">
        <v>215</v>
      </c>
      <c r="D206" s="170"/>
      <c r="E206" s="171"/>
      <c r="F206" s="172">
        <f>SUM(F207)</f>
        <v>6916.8</v>
      </c>
      <c r="G206" s="172">
        <f>SUM(G207)</f>
        <v>3014.8999999999996</v>
      </c>
      <c r="H206" s="172">
        <f>SUM(F206)+G206</f>
        <v>9931.7000000000007</v>
      </c>
      <c r="I206" s="188"/>
      <c r="J206" s="189"/>
      <c r="K206" s="188"/>
      <c r="L206" s="172">
        <f t="shared" si="51"/>
        <v>6916.8</v>
      </c>
      <c r="M206" s="172">
        <f t="shared" si="51"/>
        <v>3014.8999999999996</v>
      </c>
      <c r="N206" s="172">
        <f t="shared" si="51"/>
        <v>9931.7000000000007</v>
      </c>
      <c r="O206" s="178">
        <f t="shared" si="40"/>
        <v>9931.7000000000007</v>
      </c>
      <c r="P206" s="92">
        <f t="shared" si="41"/>
        <v>0</v>
      </c>
    </row>
    <row r="207" spans="1:16" ht="63" x14ac:dyDescent="0.2">
      <c r="A207" s="42"/>
      <c r="B207" s="205" t="s">
        <v>216</v>
      </c>
      <c r="C207" s="169" t="s">
        <v>217</v>
      </c>
      <c r="D207" s="170"/>
      <c r="E207" s="171"/>
      <c r="F207" s="172">
        <v>6916.8</v>
      </c>
      <c r="G207" s="172">
        <f>SUM(G208)</f>
        <v>3014.8999999999996</v>
      </c>
      <c r="H207" s="172">
        <f>SUM(F207)+G207</f>
        <v>9931.7000000000007</v>
      </c>
      <c r="I207" s="188"/>
      <c r="J207" s="189"/>
      <c r="K207" s="188"/>
      <c r="L207" s="172">
        <f t="shared" si="51"/>
        <v>6916.8</v>
      </c>
      <c r="M207" s="172">
        <f t="shared" si="51"/>
        <v>3014.8999999999996</v>
      </c>
      <c r="N207" s="172">
        <f t="shared" si="51"/>
        <v>9931.7000000000007</v>
      </c>
      <c r="O207" s="178">
        <f t="shared" si="40"/>
        <v>9931.7000000000007</v>
      </c>
      <c r="P207" s="92">
        <f t="shared" si="41"/>
        <v>0</v>
      </c>
    </row>
    <row r="208" spans="1:16" ht="31.5" x14ac:dyDescent="0.2">
      <c r="A208" s="42"/>
      <c r="B208" s="168" t="s">
        <v>74</v>
      </c>
      <c r="C208" s="169" t="s">
        <v>217</v>
      </c>
      <c r="D208" s="170" t="s">
        <v>42</v>
      </c>
      <c r="E208" s="171"/>
      <c r="F208" s="172">
        <v>6916.8</v>
      </c>
      <c r="G208" s="172">
        <f>3650-214.8-400-20.3</f>
        <v>3014.8999999999996</v>
      </c>
      <c r="H208" s="172">
        <f>SUM(F208)+G208</f>
        <v>9931.7000000000007</v>
      </c>
      <c r="I208" s="188"/>
      <c r="J208" s="189"/>
      <c r="K208" s="188"/>
      <c r="L208" s="172">
        <f t="shared" si="51"/>
        <v>6916.8</v>
      </c>
      <c r="M208" s="172">
        <f t="shared" si="51"/>
        <v>3014.8999999999996</v>
      </c>
      <c r="N208" s="172">
        <f t="shared" si="51"/>
        <v>9931.7000000000007</v>
      </c>
      <c r="O208" s="178">
        <f t="shared" si="40"/>
        <v>9931.7000000000007</v>
      </c>
      <c r="P208" s="92">
        <f t="shared" si="41"/>
        <v>0</v>
      </c>
    </row>
    <row r="209" spans="1:17" ht="29.25" customHeight="1" x14ac:dyDescent="0.2">
      <c r="A209" s="19" t="s">
        <v>218</v>
      </c>
      <c r="B209" s="182" t="s">
        <v>219</v>
      </c>
      <c r="C209" s="183" t="s">
        <v>220</v>
      </c>
      <c r="D209" s="184" t="s">
        <v>26</v>
      </c>
      <c r="E209" s="185"/>
      <c r="F209" s="186">
        <f>F220+F225+F234+F238+F214</f>
        <v>20371.5</v>
      </c>
      <c r="G209" s="186">
        <f>SUM(G215)+G234+G225+G238</f>
        <v>-200</v>
      </c>
      <c r="H209" s="186">
        <f>H220+H225+H234+H238+H214+H210</f>
        <v>20171.5</v>
      </c>
      <c r="I209" s="187">
        <f>I220+I225+I234+I238+I214</f>
        <v>151494</v>
      </c>
      <c r="J209" s="186">
        <f>J220+J225+J234+J238+J214</f>
        <v>0</v>
      </c>
      <c r="K209" s="187">
        <f>K220+K225+K234+K238+K214</f>
        <v>151494</v>
      </c>
      <c r="L209" s="186">
        <f>SUM(F209+I209)</f>
        <v>171865.5</v>
      </c>
      <c r="M209" s="186">
        <f>SUM(G209+J209)</f>
        <v>-200</v>
      </c>
      <c r="N209" s="186">
        <f>SUM(H209+K209)</f>
        <v>171665.5</v>
      </c>
      <c r="O209" s="178">
        <f t="shared" ref="O209:O272" si="52">L209+M209</f>
        <v>171665.5</v>
      </c>
      <c r="P209" s="92">
        <f t="shared" ref="P209:P272" si="53">O209-N209</f>
        <v>0</v>
      </c>
      <c r="Q209" s="25"/>
    </row>
    <row r="210" spans="1:17" ht="18.75" hidden="1" x14ac:dyDescent="0.2">
      <c r="A210" s="19"/>
      <c r="B210" s="190" t="s">
        <v>177</v>
      </c>
      <c r="C210" s="169"/>
      <c r="D210" s="184"/>
      <c r="E210" s="185"/>
      <c r="F210" s="186"/>
      <c r="G210" s="172"/>
      <c r="H210" s="186">
        <f>SUM(G210)</f>
        <v>0</v>
      </c>
      <c r="I210" s="187"/>
      <c r="J210" s="172">
        <f>SUM(J211)</f>
        <v>0</v>
      </c>
      <c r="K210" s="187">
        <f t="shared" ref="K210:K217" si="54">SUM(J210)</f>
        <v>0</v>
      </c>
      <c r="L210" s="186"/>
      <c r="M210" s="186">
        <f>SUM(G210+J210)</f>
        <v>0</v>
      </c>
      <c r="N210" s="186">
        <f>SUM(H210+K210)</f>
        <v>0</v>
      </c>
      <c r="O210" s="178">
        <f t="shared" si="52"/>
        <v>0</v>
      </c>
      <c r="P210" s="92">
        <f t="shared" si="53"/>
        <v>0</v>
      </c>
      <c r="Q210" s="25"/>
    </row>
    <row r="211" spans="1:17" ht="47.25" hidden="1" x14ac:dyDescent="0.2">
      <c r="A211" s="19"/>
      <c r="B211" s="168" t="s">
        <v>179</v>
      </c>
      <c r="C211" s="169" t="s">
        <v>451</v>
      </c>
      <c r="D211" s="184" t="s">
        <v>26</v>
      </c>
      <c r="E211" s="185"/>
      <c r="F211" s="186"/>
      <c r="G211" s="172"/>
      <c r="H211" s="186">
        <f>SUM(G211)</f>
        <v>0</v>
      </c>
      <c r="I211" s="187"/>
      <c r="J211" s="172">
        <f>SUM(J212)</f>
        <v>0</v>
      </c>
      <c r="K211" s="187">
        <f t="shared" si="54"/>
        <v>0</v>
      </c>
      <c r="L211" s="186"/>
      <c r="M211" s="186">
        <f>SUM(J211)+G211</f>
        <v>0</v>
      </c>
      <c r="N211" s="186">
        <f>SUM(M211)</f>
        <v>0</v>
      </c>
      <c r="O211" s="178">
        <f t="shared" si="52"/>
        <v>0</v>
      </c>
      <c r="P211" s="92">
        <f t="shared" si="53"/>
        <v>0</v>
      </c>
      <c r="Q211" s="25"/>
    </row>
    <row r="212" spans="1:17" ht="31.5" hidden="1" x14ac:dyDescent="0.2">
      <c r="A212" s="19"/>
      <c r="B212" s="168" t="s">
        <v>193</v>
      </c>
      <c r="C212" s="169" t="s">
        <v>451</v>
      </c>
      <c r="D212" s="184"/>
      <c r="E212" s="185"/>
      <c r="F212" s="169"/>
      <c r="G212" s="172"/>
      <c r="H212" s="186">
        <f>SUM(G212)</f>
        <v>0</v>
      </c>
      <c r="I212" s="187"/>
      <c r="J212" s="172">
        <f>SUM(J213)</f>
        <v>0</v>
      </c>
      <c r="K212" s="187">
        <f t="shared" si="54"/>
        <v>0</v>
      </c>
      <c r="L212" s="186"/>
      <c r="M212" s="186">
        <f>SUM(J212)+G212</f>
        <v>0</v>
      </c>
      <c r="N212" s="186">
        <f>SUM(M212)</f>
        <v>0</v>
      </c>
      <c r="O212" s="178">
        <f t="shared" si="52"/>
        <v>0</v>
      </c>
      <c r="P212" s="92">
        <f t="shared" si="53"/>
        <v>0</v>
      </c>
      <c r="Q212" s="25"/>
    </row>
    <row r="213" spans="1:17" ht="31.5" hidden="1" x14ac:dyDescent="0.2">
      <c r="A213" s="19"/>
      <c r="B213" s="168" t="s">
        <v>35</v>
      </c>
      <c r="C213" s="169" t="s">
        <v>451</v>
      </c>
      <c r="D213" s="170" t="s">
        <v>36</v>
      </c>
      <c r="E213" s="185"/>
      <c r="F213" s="186"/>
      <c r="G213" s="172"/>
      <c r="H213" s="186">
        <f>SUM(G213)</f>
        <v>0</v>
      </c>
      <c r="I213" s="187"/>
      <c r="J213" s="172"/>
      <c r="K213" s="187">
        <f t="shared" si="54"/>
        <v>0</v>
      </c>
      <c r="L213" s="186"/>
      <c r="M213" s="186">
        <f>SUM(J213)+G213</f>
        <v>0</v>
      </c>
      <c r="N213" s="186">
        <f>SUM(M213)</f>
        <v>0</v>
      </c>
      <c r="O213" s="178">
        <f t="shared" si="52"/>
        <v>0</v>
      </c>
      <c r="P213" s="92">
        <f t="shared" si="53"/>
        <v>0</v>
      </c>
      <c r="Q213" s="25"/>
    </row>
    <row r="214" spans="1:17" ht="18.75" x14ac:dyDescent="0.2">
      <c r="A214" s="19"/>
      <c r="B214" s="190" t="s">
        <v>221</v>
      </c>
      <c r="C214" s="191" t="s">
        <v>222</v>
      </c>
      <c r="D214" s="192"/>
      <c r="E214" s="193"/>
      <c r="F214" s="172">
        <f>F215</f>
        <v>3623</v>
      </c>
      <c r="G214" s="172">
        <f>SUM(G215)</f>
        <v>0</v>
      </c>
      <c r="H214" s="172">
        <f t="shared" ref="H214:H219" si="55">SUM(F214)+G214</f>
        <v>3623</v>
      </c>
      <c r="I214" s="172">
        <f>SUM(I215)</f>
        <v>3300</v>
      </c>
      <c r="J214" s="172">
        <f>SUM(J215)</f>
        <v>0</v>
      </c>
      <c r="K214" s="172">
        <f>SUM(K215)</f>
        <v>3300</v>
      </c>
      <c r="L214" s="172">
        <f>SUM(F214)+I214</f>
        <v>6923</v>
      </c>
      <c r="M214" s="194">
        <f>SUM(M215)</f>
        <v>0</v>
      </c>
      <c r="N214" s="194">
        <f>SUM(L214+M214)</f>
        <v>6923</v>
      </c>
      <c r="O214" s="178">
        <f t="shared" si="52"/>
        <v>6923</v>
      </c>
      <c r="P214" s="92">
        <f t="shared" si="53"/>
        <v>0</v>
      </c>
      <c r="Q214" s="25"/>
    </row>
    <row r="215" spans="1:17" ht="19.149999999999999" customHeight="1" x14ac:dyDescent="0.2">
      <c r="A215" s="19"/>
      <c r="B215" s="168" t="s">
        <v>223</v>
      </c>
      <c r="C215" s="169" t="s">
        <v>224</v>
      </c>
      <c r="D215" s="170"/>
      <c r="E215" s="171"/>
      <c r="F215" s="172">
        <f>F216+F218</f>
        <v>3623</v>
      </c>
      <c r="G215" s="172">
        <f>SUM(G216)+G218</f>
        <v>0</v>
      </c>
      <c r="H215" s="172">
        <f t="shared" si="55"/>
        <v>3623</v>
      </c>
      <c r="I215" s="172">
        <f>SUM(I216)+I218</f>
        <v>3300</v>
      </c>
      <c r="J215" s="172"/>
      <c r="K215" s="172">
        <f>SUM(K216)+K218</f>
        <v>3300</v>
      </c>
      <c r="L215" s="172">
        <f>SUM(F215)+I215</f>
        <v>6923</v>
      </c>
      <c r="M215" s="172">
        <f>SUM(G215+J215)</f>
        <v>0</v>
      </c>
      <c r="N215" s="172">
        <f>SUM(L215+M215)</f>
        <v>6923</v>
      </c>
      <c r="O215" s="178">
        <f t="shared" si="52"/>
        <v>6923</v>
      </c>
      <c r="P215" s="92">
        <f t="shared" si="53"/>
        <v>0</v>
      </c>
      <c r="Q215" s="25"/>
    </row>
    <row r="216" spans="1:17" ht="18.75" x14ac:dyDescent="0.2">
      <c r="A216" s="19"/>
      <c r="B216" s="168" t="s">
        <v>67</v>
      </c>
      <c r="C216" s="169" t="s">
        <v>225</v>
      </c>
      <c r="D216" s="170"/>
      <c r="E216" s="171"/>
      <c r="F216" s="172">
        <f>F217</f>
        <v>2059</v>
      </c>
      <c r="G216" s="172">
        <f>SUM(G217)</f>
        <v>0</v>
      </c>
      <c r="H216" s="172">
        <f t="shared" si="55"/>
        <v>2059</v>
      </c>
      <c r="I216" s="188"/>
      <c r="J216" s="172">
        <f>SUM(J217)</f>
        <v>0</v>
      </c>
      <c r="K216" s="188">
        <f t="shared" si="54"/>
        <v>0</v>
      </c>
      <c r="L216" s="172">
        <f>SUM(F216)</f>
        <v>2059</v>
      </c>
      <c r="M216" s="172">
        <f>SUM(M217)</f>
        <v>0</v>
      </c>
      <c r="N216" s="172">
        <f>SUM(L216+M216)</f>
        <v>2059</v>
      </c>
      <c r="O216" s="178">
        <f t="shared" si="52"/>
        <v>2059</v>
      </c>
      <c r="P216" s="92">
        <f t="shared" si="53"/>
        <v>0</v>
      </c>
      <c r="Q216" s="25"/>
    </row>
    <row r="217" spans="1:17" ht="31.5" x14ac:dyDescent="0.2">
      <c r="A217" s="19"/>
      <c r="B217" s="168" t="s">
        <v>35</v>
      </c>
      <c r="C217" s="169" t="s">
        <v>225</v>
      </c>
      <c r="D217" s="170" t="s">
        <v>36</v>
      </c>
      <c r="E217" s="171"/>
      <c r="F217" s="172">
        <v>2059</v>
      </c>
      <c r="G217" s="172"/>
      <c r="H217" s="172">
        <f t="shared" si="55"/>
        <v>2059</v>
      </c>
      <c r="I217" s="188"/>
      <c r="J217" s="189"/>
      <c r="K217" s="188">
        <f t="shared" si="54"/>
        <v>0</v>
      </c>
      <c r="L217" s="172">
        <f>SUM(F217)</f>
        <v>2059</v>
      </c>
      <c r="M217" s="172">
        <f>SUM(G217)+J217</f>
        <v>0</v>
      </c>
      <c r="N217" s="172">
        <f>SUM(H217+K217)</f>
        <v>2059</v>
      </c>
      <c r="O217" s="178">
        <f t="shared" si="52"/>
        <v>2059</v>
      </c>
      <c r="P217" s="92">
        <f t="shared" si="53"/>
        <v>0</v>
      </c>
      <c r="Q217" s="25"/>
    </row>
    <row r="218" spans="1:17" ht="31.5" x14ac:dyDescent="0.2">
      <c r="A218" s="19"/>
      <c r="B218" s="168" t="s">
        <v>193</v>
      </c>
      <c r="C218" s="169" t="s">
        <v>451</v>
      </c>
      <c r="D218" s="170"/>
      <c r="E218" s="171"/>
      <c r="F218" s="172">
        <f>F219</f>
        <v>1564</v>
      </c>
      <c r="G218" s="172">
        <f>SUM(G219)</f>
        <v>0</v>
      </c>
      <c r="H218" s="172">
        <f t="shared" si="55"/>
        <v>1564</v>
      </c>
      <c r="I218" s="188">
        <v>3300</v>
      </c>
      <c r="J218" s="189"/>
      <c r="K218" s="188">
        <f>SUM(I218)</f>
        <v>3300</v>
      </c>
      <c r="L218" s="172">
        <f>SUM(F218+I218)</f>
        <v>4864</v>
      </c>
      <c r="M218" s="172">
        <f>SUM(G218)+J218</f>
        <v>0</v>
      </c>
      <c r="N218" s="172">
        <f>SUM(H218)+K218</f>
        <v>4864</v>
      </c>
      <c r="O218" s="178">
        <f t="shared" si="52"/>
        <v>4864</v>
      </c>
      <c r="P218" s="92">
        <f t="shared" si="53"/>
        <v>0</v>
      </c>
      <c r="Q218" s="25"/>
    </row>
    <row r="219" spans="1:17" ht="31.5" x14ac:dyDescent="0.2">
      <c r="A219" s="19"/>
      <c r="B219" s="168" t="s">
        <v>35</v>
      </c>
      <c r="C219" s="169" t="s">
        <v>451</v>
      </c>
      <c r="D219" s="170" t="s">
        <v>36</v>
      </c>
      <c r="E219" s="171"/>
      <c r="F219" s="172">
        <v>1564</v>
      </c>
      <c r="G219" s="172"/>
      <c r="H219" s="172">
        <f t="shared" si="55"/>
        <v>1564</v>
      </c>
      <c r="I219" s="188">
        <v>3300</v>
      </c>
      <c r="J219" s="189"/>
      <c r="K219" s="188">
        <f>SUM(I219)</f>
        <v>3300</v>
      </c>
      <c r="L219" s="172">
        <f>SUM(F219+I219)</f>
        <v>4864</v>
      </c>
      <c r="M219" s="172">
        <f>SUM(G219)+J219</f>
        <v>0</v>
      </c>
      <c r="N219" s="172">
        <f>SUM(H219)+K219</f>
        <v>4864</v>
      </c>
      <c r="O219" s="178">
        <f t="shared" si="52"/>
        <v>4864</v>
      </c>
      <c r="P219" s="92">
        <f t="shared" si="53"/>
        <v>0</v>
      </c>
      <c r="Q219" s="25"/>
    </row>
    <row r="220" spans="1:17" ht="31.5" x14ac:dyDescent="0.2">
      <c r="A220" s="49"/>
      <c r="B220" s="206" t="s">
        <v>226</v>
      </c>
      <c r="C220" s="207" t="s">
        <v>227</v>
      </c>
      <c r="D220" s="208" t="s">
        <v>26</v>
      </c>
      <c r="E220" s="209"/>
      <c r="F220" s="210">
        <f t="shared" ref="F220:N221" si="56">F221</f>
        <v>330</v>
      </c>
      <c r="G220" s="210">
        <f t="shared" si="56"/>
        <v>0</v>
      </c>
      <c r="H220" s="210">
        <f t="shared" si="56"/>
        <v>330</v>
      </c>
      <c r="I220" s="211">
        <f t="shared" si="56"/>
        <v>0</v>
      </c>
      <c r="J220" s="212"/>
      <c r="K220" s="211">
        <f t="shared" si="56"/>
        <v>0</v>
      </c>
      <c r="L220" s="210">
        <f t="shared" si="56"/>
        <v>330</v>
      </c>
      <c r="M220" s="210">
        <f t="shared" si="56"/>
        <v>0</v>
      </c>
      <c r="N220" s="210">
        <f t="shared" si="56"/>
        <v>330</v>
      </c>
      <c r="O220" s="178">
        <f t="shared" si="52"/>
        <v>330</v>
      </c>
      <c r="P220" s="92">
        <f t="shared" si="53"/>
        <v>0</v>
      </c>
    </row>
    <row r="221" spans="1:17" ht="31.5" x14ac:dyDescent="0.2">
      <c r="A221" s="42"/>
      <c r="B221" s="168" t="s">
        <v>228</v>
      </c>
      <c r="C221" s="169" t="s">
        <v>229</v>
      </c>
      <c r="D221" s="170" t="s">
        <v>26</v>
      </c>
      <c r="E221" s="171"/>
      <c r="F221" s="172">
        <f t="shared" si="56"/>
        <v>330</v>
      </c>
      <c r="G221" s="172">
        <f t="shared" si="56"/>
        <v>0</v>
      </c>
      <c r="H221" s="172">
        <f t="shared" si="56"/>
        <v>330</v>
      </c>
      <c r="I221" s="188">
        <f t="shared" si="56"/>
        <v>0</v>
      </c>
      <c r="J221" s="189"/>
      <c r="K221" s="188">
        <f t="shared" si="56"/>
        <v>0</v>
      </c>
      <c r="L221" s="172">
        <f t="shared" si="56"/>
        <v>330</v>
      </c>
      <c r="M221" s="172">
        <f t="shared" si="56"/>
        <v>0</v>
      </c>
      <c r="N221" s="172">
        <f t="shared" si="56"/>
        <v>330</v>
      </c>
      <c r="O221" s="178">
        <f t="shared" si="52"/>
        <v>330</v>
      </c>
      <c r="P221" s="92">
        <f t="shared" si="53"/>
        <v>0</v>
      </c>
    </row>
    <row r="222" spans="1:17" ht="31.5" x14ac:dyDescent="0.2">
      <c r="A222" s="42"/>
      <c r="B222" s="168" t="s">
        <v>226</v>
      </c>
      <c r="C222" s="169" t="s">
        <v>230</v>
      </c>
      <c r="D222" s="170" t="s">
        <v>26</v>
      </c>
      <c r="E222" s="171"/>
      <c r="F222" s="172">
        <f>F224+F223</f>
        <v>330</v>
      </c>
      <c r="G222" s="172">
        <f>G224+G223</f>
        <v>0</v>
      </c>
      <c r="H222" s="172">
        <f>H224+H223</f>
        <v>330</v>
      </c>
      <c r="I222" s="188">
        <f>I224+I223</f>
        <v>0</v>
      </c>
      <c r="J222" s="189"/>
      <c r="K222" s="188">
        <f>K224+K223</f>
        <v>0</v>
      </c>
      <c r="L222" s="172">
        <f>L224+L223</f>
        <v>330</v>
      </c>
      <c r="M222" s="172">
        <f>M224+M223</f>
        <v>0</v>
      </c>
      <c r="N222" s="172">
        <f>N224+N223</f>
        <v>330</v>
      </c>
      <c r="O222" s="178">
        <f t="shared" si="52"/>
        <v>330</v>
      </c>
      <c r="P222" s="92">
        <f t="shared" si="53"/>
        <v>0</v>
      </c>
    </row>
    <row r="223" spans="1:17" ht="31.5" x14ac:dyDescent="0.2">
      <c r="A223" s="42"/>
      <c r="B223" s="168" t="s">
        <v>35</v>
      </c>
      <c r="C223" s="169" t="s">
        <v>230</v>
      </c>
      <c r="D223" s="170" t="s">
        <v>36</v>
      </c>
      <c r="E223" s="171"/>
      <c r="F223" s="172">
        <v>200</v>
      </c>
      <c r="G223" s="172"/>
      <c r="H223" s="172">
        <v>200</v>
      </c>
      <c r="I223" s="188">
        <v>0</v>
      </c>
      <c r="J223" s="189"/>
      <c r="K223" s="188">
        <v>0</v>
      </c>
      <c r="L223" s="172">
        <v>200</v>
      </c>
      <c r="M223" s="172"/>
      <c r="N223" s="172">
        <v>200</v>
      </c>
      <c r="O223" s="178">
        <f t="shared" si="52"/>
        <v>200</v>
      </c>
      <c r="P223" s="92">
        <f t="shared" si="53"/>
        <v>0</v>
      </c>
    </row>
    <row r="224" spans="1:17" ht="18.75" x14ac:dyDescent="0.2">
      <c r="A224" s="42"/>
      <c r="B224" s="168" t="s">
        <v>41</v>
      </c>
      <c r="C224" s="169" t="s">
        <v>230</v>
      </c>
      <c r="D224" s="170" t="s">
        <v>42</v>
      </c>
      <c r="E224" s="171"/>
      <c r="F224" s="172">
        <v>130</v>
      </c>
      <c r="G224" s="172"/>
      <c r="H224" s="172">
        <v>130</v>
      </c>
      <c r="I224" s="188">
        <v>0</v>
      </c>
      <c r="J224" s="189"/>
      <c r="K224" s="188">
        <v>0</v>
      </c>
      <c r="L224" s="172">
        <v>130</v>
      </c>
      <c r="M224" s="172"/>
      <c r="N224" s="172">
        <v>130</v>
      </c>
      <c r="O224" s="178">
        <f t="shared" si="52"/>
        <v>130</v>
      </c>
      <c r="P224" s="92">
        <f t="shared" si="53"/>
        <v>0</v>
      </c>
    </row>
    <row r="225" spans="1:16" ht="22.15" customHeight="1" x14ac:dyDescent="0.2">
      <c r="A225" s="49"/>
      <c r="B225" s="190" t="s">
        <v>231</v>
      </c>
      <c r="C225" s="191" t="s">
        <v>232</v>
      </c>
      <c r="D225" s="192" t="s">
        <v>26</v>
      </c>
      <c r="E225" s="193"/>
      <c r="F225" s="194">
        <f t="shared" ref="F225:N226" si="57">F226</f>
        <v>4396.1000000000004</v>
      </c>
      <c r="G225" s="194">
        <f t="shared" si="57"/>
        <v>0</v>
      </c>
      <c r="H225" s="194">
        <f t="shared" si="57"/>
        <v>4396.1000000000004</v>
      </c>
      <c r="I225" s="195">
        <f t="shared" si="57"/>
        <v>0</v>
      </c>
      <c r="J225" s="194">
        <f t="shared" si="57"/>
        <v>0</v>
      </c>
      <c r="K225" s="195">
        <f t="shared" si="57"/>
        <v>0</v>
      </c>
      <c r="L225" s="194">
        <f t="shared" si="57"/>
        <v>4396.1000000000004</v>
      </c>
      <c r="M225" s="194">
        <f t="shared" si="57"/>
        <v>0</v>
      </c>
      <c r="N225" s="194">
        <f t="shared" si="57"/>
        <v>4396.1000000000004</v>
      </c>
      <c r="O225" s="178">
        <f t="shared" si="52"/>
        <v>4396.1000000000004</v>
      </c>
      <c r="P225" s="92">
        <f t="shared" si="53"/>
        <v>0</v>
      </c>
    </row>
    <row r="226" spans="1:16" ht="34.9" customHeight="1" x14ac:dyDescent="0.2">
      <c r="A226" s="42"/>
      <c r="B226" s="168" t="s">
        <v>233</v>
      </c>
      <c r="C226" s="169" t="s">
        <v>234</v>
      </c>
      <c r="D226" s="170" t="s">
        <v>26</v>
      </c>
      <c r="E226" s="171"/>
      <c r="F226" s="172">
        <f t="shared" si="57"/>
        <v>4396.1000000000004</v>
      </c>
      <c r="G226" s="172">
        <f>G227+G232</f>
        <v>0</v>
      </c>
      <c r="H226" s="172">
        <f t="shared" si="57"/>
        <v>4396.1000000000004</v>
      </c>
      <c r="I226" s="188">
        <f t="shared" si="57"/>
        <v>0</v>
      </c>
      <c r="J226" s="189"/>
      <c r="K226" s="188">
        <f t="shared" si="57"/>
        <v>0</v>
      </c>
      <c r="L226" s="172">
        <f t="shared" si="57"/>
        <v>4396.1000000000004</v>
      </c>
      <c r="M226" s="172">
        <f>SUM(G226)</f>
        <v>0</v>
      </c>
      <c r="N226" s="172">
        <f>N227</f>
        <v>4396.1000000000004</v>
      </c>
      <c r="O226" s="178">
        <f t="shared" si="52"/>
        <v>4396.1000000000004</v>
      </c>
      <c r="P226" s="92">
        <f t="shared" si="53"/>
        <v>0</v>
      </c>
    </row>
    <row r="227" spans="1:16" ht="31.5" x14ac:dyDescent="0.2">
      <c r="A227" s="42"/>
      <c r="B227" s="168" t="s">
        <v>39</v>
      </c>
      <c r="C227" s="169" t="s">
        <v>235</v>
      </c>
      <c r="D227" s="170" t="s">
        <v>26</v>
      </c>
      <c r="E227" s="171"/>
      <c r="F227" s="172">
        <f>F228+F229</f>
        <v>4396.1000000000004</v>
      </c>
      <c r="G227" s="172">
        <f>G228+G229</f>
        <v>0</v>
      </c>
      <c r="H227" s="172">
        <f>H228+H229</f>
        <v>4396.1000000000004</v>
      </c>
      <c r="I227" s="188">
        <f>I228+I229</f>
        <v>0</v>
      </c>
      <c r="J227" s="189"/>
      <c r="K227" s="188">
        <f>K228+K229</f>
        <v>0</v>
      </c>
      <c r="L227" s="172">
        <f>L228+L229</f>
        <v>4396.1000000000004</v>
      </c>
      <c r="M227" s="172">
        <f>M228+M229</f>
        <v>0</v>
      </c>
      <c r="N227" s="172">
        <f>N228+N229</f>
        <v>4396.1000000000004</v>
      </c>
      <c r="O227" s="178">
        <f t="shared" si="52"/>
        <v>4396.1000000000004</v>
      </c>
      <c r="P227" s="92">
        <f t="shared" si="53"/>
        <v>0</v>
      </c>
    </row>
    <row r="228" spans="1:16" ht="66" customHeight="1" x14ac:dyDescent="0.2">
      <c r="A228" s="42"/>
      <c r="B228" s="168" t="s">
        <v>31</v>
      </c>
      <c r="C228" s="169" t="s">
        <v>235</v>
      </c>
      <c r="D228" s="170" t="s">
        <v>32</v>
      </c>
      <c r="E228" s="171"/>
      <c r="F228" s="172">
        <v>4250.6000000000004</v>
      </c>
      <c r="G228" s="172"/>
      <c r="H228" s="172">
        <f>SUM(F228)</f>
        <v>4250.6000000000004</v>
      </c>
      <c r="I228" s="188">
        <v>0</v>
      </c>
      <c r="J228" s="189"/>
      <c r="K228" s="188">
        <v>0</v>
      </c>
      <c r="L228" s="172">
        <f>SUM(F228)</f>
        <v>4250.6000000000004</v>
      </c>
      <c r="M228" s="172">
        <f>SUM(G228)</f>
        <v>0</v>
      </c>
      <c r="N228" s="172">
        <f>SUM(H228)</f>
        <v>4250.6000000000004</v>
      </c>
      <c r="O228" s="178">
        <f t="shared" si="52"/>
        <v>4250.6000000000004</v>
      </c>
      <c r="P228" s="92">
        <f t="shared" si="53"/>
        <v>0</v>
      </c>
    </row>
    <row r="229" spans="1:16" ht="30.75" customHeight="1" x14ac:dyDescent="0.2">
      <c r="A229" s="42"/>
      <c r="B229" s="168" t="s">
        <v>35</v>
      </c>
      <c r="C229" s="169" t="s">
        <v>235</v>
      </c>
      <c r="D229" s="170" t="s">
        <v>36</v>
      </c>
      <c r="E229" s="171"/>
      <c r="F229" s="172">
        <v>145.5</v>
      </c>
      <c r="G229" s="172"/>
      <c r="H229" s="172">
        <v>145.5</v>
      </c>
      <c r="I229" s="188">
        <v>0</v>
      </c>
      <c r="J229" s="189"/>
      <c r="K229" s="188">
        <v>0</v>
      </c>
      <c r="L229" s="172">
        <v>145.5</v>
      </c>
      <c r="M229" s="172"/>
      <c r="N229" s="172">
        <v>145.5</v>
      </c>
      <c r="O229" s="178">
        <f t="shared" si="52"/>
        <v>145.5</v>
      </c>
      <c r="P229" s="92">
        <f t="shared" si="53"/>
        <v>0</v>
      </c>
    </row>
    <row r="230" spans="1:16" ht="18.75" hidden="1" x14ac:dyDescent="0.2">
      <c r="A230" s="42"/>
      <c r="B230" s="168"/>
      <c r="C230" s="169"/>
      <c r="D230" s="170"/>
      <c r="E230" s="171"/>
      <c r="F230" s="172"/>
      <c r="G230" s="172"/>
      <c r="H230" s="172"/>
      <c r="I230" s="188"/>
      <c r="J230" s="189"/>
      <c r="K230" s="188"/>
      <c r="L230" s="172"/>
      <c r="M230" s="172"/>
      <c r="N230" s="172"/>
      <c r="O230" s="178">
        <f t="shared" si="52"/>
        <v>0</v>
      </c>
      <c r="P230" s="92">
        <f t="shared" si="53"/>
        <v>0</v>
      </c>
    </row>
    <row r="231" spans="1:16" ht="18.75" hidden="1" x14ac:dyDescent="0.2">
      <c r="A231" s="42"/>
      <c r="B231" s="168"/>
      <c r="C231" s="169" t="s">
        <v>457</v>
      </c>
      <c r="D231" s="170"/>
      <c r="E231" s="171"/>
      <c r="F231" s="172"/>
      <c r="G231" s="172"/>
      <c r="H231" s="172"/>
      <c r="I231" s="188"/>
      <c r="J231" s="189"/>
      <c r="K231" s="188"/>
      <c r="L231" s="172"/>
      <c r="M231" s="172"/>
      <c r="N231" s="172"/>
      <c r="O231" s="178">
        <f t="shared" si="52"/>
        <v>0</v>
      </c>
      <c r="P231" s="92">
        <f t="shared" si="53"/>
        <v>0</v>
      </c>
    </row>
    <row r="232" spans="1:16" ht="47.25" hidden="1" x14ac:dyDescent="0.2">
      <c r="A232" s="42"/>
      <c r="B232" s="168" t="s">
        <v>458</v>
      </c>
      <c r="C232" s="169" t="s">
        <v>457</v>
      </c>
      <c r="D232" s="170"/>
      <c r="E232" s="171"/>
      <c r="F232" s="172"/>
      <c r="G232" s="172">
        <f>SUM(G233)</f>
        <v>0</v>
      </c>
      <c r="H232" s="172"/>
      <c r="I232" s="188"/>
      <c r="J232" s="189"/>
      <c r="K232" s="188"/>
      <c r="L232" s="172"/>
      <c r="M232" s="172">
        <f>SUM(G232)</f>
        <v>0</v>
      </c>
      <c r="N232" s="172">
        <f>SUM(H232)</f>
        <v>0</v>
      </c>
      <c r="O232" s="178">
        <f t="shared" si="52"/>
        <v>0</v>
      </c>
      <c r="P232" s="92">
        <f t="shared" si="53"/>
        <v>0</v>
      </c>
    </row>
    <row r="233" spans="1:16" ht="18.75" hidden="1" x14ac:dyDescent="0.2">
      <c r="A233" s="42"/>
      <c r="B233" s="168" t="s">
        <v>278</v>
      </c>
      <c r="C233" s="169" t="s">
        <v>457</v>
      </c>
      <c r="D233" s="170" t="s">
        <v>279</v>
      </c>
      <c r="E233" s="171"/>
      <c r="F233" s="172"/>
      <c r="G233" s="172"/>
      <c r="H233" s="172">
        <f>SUM(G233)</f>
        <v>0</v>
      </c>
      <c r="I233" s="188"/>
      <c r="J233" s="189"/>
      <c r="K233" s="188"/>
      <c r="L233" s="172"/>
      <c r="M233" s="172">
        <f>SUM(G233)</f>
        <v>0</v>
      </c>
      <c r="N233" s="172">
        <f>SUM(H233)</f>
        <v>0</v>
      </c>
      <c r="O233" s="178">
        <f t="shared" si="52"/>
        <v>0</v>
      </c>
      <c r="P233" s="92">
        <f t="shared" si="53"/>
        <v>0</v>
      </c>
    </row>
    <row r="234" spans="1:16" ht="48.6" customHeight="1" x14ac:dyDescent="0.2">
      <c r="A234" s="49"/>
      <c r="B234" s="190" t="s">
        <v>236</v>
      </c>
      <c r="C234" s="191" t="s">
        <v>237</v>
      </c>
      <c r="D234" s="192" t="s">
        <v>26</v>
      </c>
      <c r="E234" s="193"/>
      <c r="F234" s="194">
        <f t="shared" ref="F234:N236" si="58">F235</f>
        <v>800</v>
      </c>
      <c r="G234" s="194">
        <f t="shared" si="58"/>
        <v>-200</v>
      </c>
      <c r="H234" s="194">
        <f t="shared" si="58"/>
        <v>600</v>
      </c>
      <c r="I234" s="195">
        <f t="shared" si="58"/>
        <v>0</v>
      </c>
      <c r="J234" s="194">
        <f>J235</f>
        <v>0</v>
      </c>
      <c r="K234" s="195">
        <f t="shared" si="58"/>
        <v>0</v>
      </c>
      <c r="L234" s="194">
        <f t="shared" si="58"/>
        <v>800</v>
      </c>
      <c r="M234" s="194">
        <f t="shared" si="58"/>
        <v>-200</v>
      </c>
      <c r="N234" s="194">
        <f t="shared" si="58"/>
        <v>600</v>
      </c>
      <c r="O234" s="178">
        <f t="shared" si="52"/>
        <v>600</v>
      </c>
      <c r="P234" s="92">
        <f t="shared" si="53"/>
        <v>0</v>
      </c>
    </row>
    <row r="235" spans="1:16" ht="33.6" customHeight="1" x14ac:dyDescent="0.2">
      <c r="A235" s="42"/>
      <c r="B235" s="168" t="s">
        <v>238</v>
      </c>
      <c r="C235" s="169" t="s">
        <v>239</v>
      </c>
      <c r="D235" s="170" t="s">
        <v>26</v>
      </c>
      <c r="E235" s="171"/>
      <c r="F235" s="172">
        <f t="shared" si="58"/>
        <v>800</v>
      </c>
      <c r="G235" s="172">
        <f t="shared" si="58"/>
        <v>-200</v>
      </c>
      <c r="H235" s="172">
        <f t="shared" si="58"/>
        <v>600</v>
      </c>
      <c r="I235" s="188">
        <f t="shared" si="58"/>
        <v>0</v>
      </c>
      <c r="J235" s="189"/>
      <c r="K235" s="188">
        <f t="shared" si="58"/>
        <v>0</v>
      </c>
      <c r="L235" s="172">
        <f t="shared" si="58"/>
        <v>800</v>
      </c>
      <c r="M235" s="172">
        <f t="shared" si="58"/>
        <v>-200</v>
      </c>
      <c r="N235" s="172">
        <f t="shared" si="58"/>
        <v>600</v>
      </c>
      <c r="O235" s="178">
        <f t="shared" si="52"/>
        <v>600</v>
      </c>
      <c r="P235" s="92">
        <f t="shared" si="53"/>
        <v>0</v>
      </c>
    </row>
    <row r="236" spans="1:16" ht="18.75" x14ac:dyDescent="0.2">
      <c r="A236" s="42"/>
      <c r="B236" s="168" t="s">
        <v>240</v>
      </c>
      <c r="C236" s="169" t="s">
        <v>241</v>
      </c>
      <c r="D236" s="170" t="s">
        <v>26</v>
      </c>
      <c r="E236" s="171"/>
      <c r="F236" s="172">
        <f t="shared" si="58"/>
        <v>800</v>
      </c>
      <c r="G236" s="172">
        <f t="shared" si="58"/>
        <v>-200</v>
      </c>
      <c r="H236" s="172">
        <f t="shared" si="58"/>
        <v>600</v>
      </c>
      <c r="I236" s="188">
        <f t="shared" si="58"/>
        <v>0</v>
      </c>
      <c r="J236" s="189"/>
      <c r="K236" s="188">
        <f t="shared" si="58"/>
        <v>0</v>
      </c>
      <c r="L236" s="172">
        <f t="shared" si="58"/>
        <v>800</v>
      </c>
      <c r="M236" s="172">
        <f t="shared" si="58"/>
        <v>-200</v>
      </c>
      <c r="N236" s="172">
        <f t="shared" si="58"/>
        <v>600</v>
      </c>
      <c r="O236" s="178">
        <f t="shared" si="52"/>
        <v>600</v>
      </c>
      <c r="P236" s="92">
        <f t="shared" si="53"/>
        <v>0</v>
      </c>
    </row>
    <row r="237" spans="1:16" ht="31.5" x14ac:dyDescent="0.2">
      <c r="A237" s="42"/>
      <c r="B237" s="168" t="s">
        <v>35</v>
      </c>
      <c r="C237" s="169" t="s">
        <v>241</v>
      </c>
      <c r="D237" s="170" t="s">
        <v>36</v>
      </c>
      <c r="E237" s="171"/>
      <c r="F237" s="172">
        <v>800</v>
      </c>
      <c r="G237" s="172">
        <v>-200</v>
      </c>
      <c r="H237" s="172">
        <f>F237+G237</f>
        <v>600</v>
      </c>
      <c r="I237" s="188">
        <v>0</v>
      </c>
      <c r="J237" s="189"/>
      <c r="K237" s="188">
        <v>0</v>
      </c>
      <c r="L237" s="172">
        <f>SUM(F237)</f>
        <v>800</v>
      </c>
      <c r="M237" s="172">
        <f>SUM(G237)</f>
        <v>-200</v>
      </c>
      <c r="N237" s="172">
        <f>SUM(H237)</f>
        <v>600</v>
      </c>
      <c r="O237" s="178">
        <f t="shared" si="52"/>
        <v>600</v>
      </c>
      <c r="P237" s="92">
        <f t="shared" si="53"/>
        <v>0</v>
      </c>
    </row>
    <row r="238" spans="1:16" ht="18.75" x14ac:dyDescent="0.2">
      <c r="A238" s="49"/>
      <c r="B238" s="190" t="s">
        <v>140</v>
      </c>
      <c r="C238" s="191" t="s">
        <v>242</v>
      </c>
      <c r="D238" s="192" t="s">
        <v>26</v>
      </c>
      <c r="E238" s="193"/>
      <c r="F238" s="194">
        <f t="shared" ref="F238:N240" si="59">F239</f>
        <v>11222.4</v>
      </c>
      <c r="G238" s="194">
        <f t="shared" si="59"/>
        <v>0</v>
      </c>
      <c r="H238" s="194">
        <f t="shared" si="59"/>
        <v>11222.4</v>
      </c>
      <c r="I238" s="195">
        <f t="shared" si="59"/>
        <v>148194</v>
      </c>
      <c r="J238" s="194">
        <f>J239</f>
        <v>0</v>
      </c>
      <c r="K238" s="195">
        <f t="shared" si="59"/>
        <v>148194</v>
      </c>
      <c r="L238" s="194">
        <f t="shared" si="59"/>
        <v>159416.4</v>
      </c>
      <c r="M238" s="194">
        <f t="shared" si="59"/>
        <v>0</v>
      </c>
      <c r="N238" s="194">
        <f t="shared" si="59"/>
        <v>159416.4</v>
      </c>
      <c r="O238" s="178">
        <f t="shared" si="52"/>
        <v>159416.4</v>
      </c>
      <c r="P238" s="92">
        <f t="shared" si="53"/>
        <v>0</v>
      </c>
    </row>
    <row r="239" spans="1:16" ht="31.5" x14ac:dyDescent="0.2">
      <c r="A239" s="42"/>
      <c r="B239" s="168" t="s">
        <v>243</v>
      </c>
      <c r="C239" s="169" t="s">
        <v>244</v>
      </c>
      <c r="D239" s="170" t="s">
        <v>26</v>
      </c>
      <c r="E239" s="171"/>
      <c r="F239" s="172">
        <f>F240+F242</f>
        <v>11222.4</v>
      </c>
      <c r="G239" s="172">
        <f>G240+G242</f>
        <v>0</v>
      </c>
      <c r="H239" s="172">
        <f>H240+H242</f>
        <v>11222.4</v>
      </c>
      <c r="I239" s="188">
        <f t="shared" si="59"/>
        <v>148194</v>
      </c>
      <c r="J239" s="189"/>
      <c r="K239" s="188">
        <f t="shared" si="59"/>
        <v>148194</v>
      </c>
      <c r="L239" s="172">
        <f>L240+L242</f>
        <v>159416.4</v>
      </c>
      <c r="M239" s="172">
        <f>M240+M242</f>
        <v>0</v>
      </c>
      <c r="N239" s="172">
        <f>N240+N242</f>
        <v>159416.4</v>
      </c>
      <c r="O239" s="178">
        <f t="shared" si="52"/>
        <v>159416.4</v>
      </c>
      <c r="P239" s="92">
        <f t="shared" si="53"/>
        <v>0</v>
      </c>
    </row>
    <row r="240" spans="1:16" ht="97.15" customHeight="1" x14ac:dyDescent="0.2">
      <c r="A240" s="42"/>
      <c r="B240" s="168" t="s">
        <v>478</v>
      </c>
      <c r="C240" s="169" t="s">
        <v>246</v>
      </c>
      <c r="D240" s="170" t="s">
        <v>26</v>
      </c>
      <c r="E240" s="171"/>
      <c r="F240" s="172">
        <f t="shared" si="59"/>
        <v>7799.8</v>
      </c>
      <c r="G240" s="172">
        <f t="shared" si="59"/>
        <v>0</v>
      </c>
      <c r="H240" s="172">
        <f t="shared" si="59"/>
        <v>7799.8</v>
      </c>
      <c r="I240" s="188">
        <f t="shared" si="59"/>
        <v>148194</v>
      </c>
      <c r="J240" s="189"/>
      <c r="K240" s="188">
        <f t="shared" si="59"/>
        <v>148194</v>
      </c>
      <c r="L240" s="172">
        <f t="shared" si="59"/>
        <v>155993.79999999999</v>
      </c>
      <c r="M240" s="172">
        <f t="shared" si="59"/>
        <v>0</v>
      </c>
      <c r="N240" s="172">
        <f t="shared" si="59"/>
        <v>155993.79999999999</v>
      </c>
      <c r="O240" s="178">
        <f t="shared" si="52"/>
        <v>155993.79999999999</v>
      </c>
      <c r="P240" s="92">
        <f t="shared" si="53"/>
        <v>0</v>
      </c>
    </row>
    <row r="241" spans="1:18" ht="31.5" x14ac:dyDescent="0.2">
      <c r="A241" s="42"/>
      <c r="B241" s="168" t="s">
        <v>131</v>
      </c>
      <c r="C241" s="169" t="s">
        <v>246</v>
      </c>
      <c r="D241" s="170" t="s">
        <v>132</v>
      </c>
      <c r="E241" s="171"/>
      <c r="F241" s="172">
        <v>7799.8</v>
      </c>
      <c r="G241" s="172"/>
      <c r="H241" s="172">
        <f>SUM(F241)</f>
        <v>7799.8</v>
      </c>
      <c r="I241" s="188">
        <v>148194</v>
      </c>
      <c r="J241" s="189"/>
      <c r="K241" s="188">
        <f>SUM(I241)</f>
        <v>148194</v>
      </c>
      <c r="L241" s="172">
        <f>SUM(F241+I241)</f>
        <v>155993.79999999999</v>
      </c>
      <c r="M241" s="172">
        <f>SUM(G241)+J241</f>
        <v>0</v>
      </c>
      <c r="N241" s="172">
        <f>SUM(H241+K241)</f>
        <v>155993.79999999999</v>
      </c>
      <c r="O241" s="178">
        <f t="shared" si="52"/>
        <v>155993.79999999999</v>
      </c>
      <c r="P241" s="92">
        <f t="shared" si="53"/>
        <v>0</v>
      </c>
    </row>
    <row r="242" spans="1:18" ht="78.75" x14ac:dyDescent="0.2">
      <c r="A242" s="42"/>
      <c r="B242" s="198" t="s">
        <v>479</v>
      </c>
      <c r="C242" s="169" t="s">
        <v>461</v>
      </c>
      <c r="D242" s="170"/>
      <c r="E242" s="171"/>
      <c r="F242" s="172">
        <v>3422.6</v>
      </c>
      <c r="G242" s="172">
        <f>G243</f>
        <v>0</v>
      </c>
      <c r="H242" s="172">
        <f>SUM(F242:G242)</f>
        <v>3422.6</v>
      </c>
      <c r="I242" s="188"/>
      <c r="J242" s="189"/>
      <c r="K242" s="188"/>
      <c r="L242" s="172">
        <f>L243</f>
        <v>3422.6</v>
      </c>
      <c r="M242" s="172">
        <f>M243</f>
        <v>0</v>
      </c>
      <c r="N242" s="172">
        <f>N243</f>
        <v>3422.6</v>
      </c>
      <c r="O242" s="178">
        <f t="shared" si="52"/>
        <v>3422.6</v>
      </c>
      <c r="P242" s="92">
        <f t="shared" si="53"/>
        <v>0</v>
      </c>
    </row>
    <row r="243" spans="1:18" ht="31.5" x14ac:dyDescent="0.2">
      <c r="A243" s="42"/>
      <c r="B243" s="168" t="s">
        <v>131</v>
      </c>
      <c r="C243" s="169" t="s">
        <v>461</v>
      </c>
      <c r="D243" s="170" t="s">
        <v>132</v>
      </c>
      <c r="E243" s="171"/>
      <c r="F243" s="172">
        <v>3422.6</v>
      </c>
      <c r="G243" s="172"/>
      <c r="H243" s="172">
        <f>SUM(F243:G243)</f>
        <v>3422.6</v>
      </c>
      <c r="I243" s="188"/>
      <c r="J243" s="189"/>
      <c r="K243" s="188"/>
      <c r="L243" s="172">
        <f>SUM(F243)</f>
        <v>3422.6</v>
      </c>
      <c r="M243" s="172">
        <f>SUM(G243)</f>
        <v>0</v>
      </c>
      <c r="N243" s="172">
        <f>SUM(L243:M243)</f>
        <v>3422.6</v>
      </c>
      <c r="O243" s="178">
        <f t="shared" si="52"/>
        <v>3422.6</v>
      </c>
      <c r="P243" s="92">
        <f t="shared" si="53"/>
        <v>0</v>
      </c>
    </row>
    <row r="244" spans="1:18" ht="31.5" x14ac:dyDescent="0.2">
      <c r="A244" s="19" t="s">
        <v>247</v>
      </c>
      <c r="B244" s="182" t="s">
        <v>248</v>
      </c>
      <c r="C244" s="183" t="s">
        <v>249</v>
      </c>
      <c r="D244" s="184" t="s">
        <v>26</v>
      </c>
      <c r="E244" s="185"/>
      <c r="F244" s="186">
        <f t="shared" ref="F244:N244" si="60">F245+F249</f>
        <v>5586</v>
      </c>
      <c r="G244" s="186">
        <f t="shared" si="60"/>
        <v>175.9</v>
      </c>
      <c r="H244" s="186">
        <f t="shared" si="60"/>
        <v>5761.9</v>
      </c>
      <c r="I244" s="187">
        <f t="shared" si="60"/>
        <v>0</v>
      </c>
      <c r="J244" s="186">
        <f t="shared" si="60"/>
        <v>0</v>
      </c>
      <c r="K244" s="187">
        <f t="shared" si="60"/>
        <v>0</v>
      </c>
      <c r="L244" s="186">
        <f t="shared" si="60"/>
        <v>5586</v>
      </c>
      <c r="M244" s="186">
        <f t="shared" si="60"/>
        <v>175.9</v>
      </c>
      <c r="N244" s="186">
        <f t="shared" si="60"/>
        <v>5761.9</v>
      </c>
      <c r="O244" s="178">
        <f t="shared" si="52"/>
        <v>5761.9</v>
      </c>
      <c r="P244" s="92">
        <f t="shared" si="53"/>
        <v>0</v>
      </c>
    </row>
    <row r="245" spans="1:18" ht="18.75" x14ac:dyDescent="0.2">
      <c r="A245" s="49"/>
      <c r="B245" s="190" t="s">
        <v>250</v>
      </c>
      <c r="C245" s="191" t="s">
        <v>251</v>
      </c>
      <c r="D245" s="192" t="s">
        <v>26</v>
      </c>
      <c r="E245" s="193"/>
      <c r="F245" s="194">
        <f t="shared" ref="F245:N247" si="61">F246</f>
        <v>3500</v>
      </c>
      <c r="G245" s="194">
        <f t="shared" si="61"/>
        <v>0</v>
      </c>
      <c r="H245" s="194">
        <f t="shared" si="61"/>
        <v>3500</v>
      </c>
      <c r="I245" s="195">
        <f t="shared" si="61"/>
        <v>0</v>
      </c>
      <c r="J245" s="194">
        <f>J246</f>
        <v>0</v>
      </c>
      <c r="K245" s="195">
        <f t="shared" si="61"/>
        <v>0</v>
      </c>
      <c r="L245" s="194">
        <f t="shared" si="61"/>
        <v>3500</v>
      </c>
      <c r="M245" s="194">
        <f t="shared" si="61"/>
        <v>0</v>
      </c>
      <c r="N245" s="194">
        <f t="shared" si="61"/>
        <v>3500</v>
      </c>
      <c r="O245" s="178">
        <f t="shared" si="52"/>
        <v>3500</v>
      </c>
      <c r="P245" s="92">
        <f t="shared" si="53"/>
        <v>0</v>
      </c>
    </row>
    <row r="246" spans="1:18" ht="31.5" x14ac:dyDescent="0.2">
      <c r="A246" s="42"/>
      <c r="B246" s="168" t="s">
        <v>252</v>
      </c>
      <c r="C246" s="169" t="s">
        <v>253</v>
      </c>
      <c r="D246" s="170" t="s">
        <v>26</v>
      </c>
      <c r="E246" s="171"/>
      <c r="F246" s="172">
        <f t="shared" si="61"/>
        <v>3500</v>
      </c>
      <c r="G246" s="172">
        <f t="shared" si="61"/>
        <v>0</v>
      </c>
      <c r="H246" s="172">
        <f t="shared" si="61"/>
        <v>3500</v>
      </c>
      <c r="I246" s="188">
        <f t="shared" si="61"/>
        <v>0</v>
      </c>
      <c r="J246" s="189"/>
      <c r="K246" s="188">
        <f t="shared" si="61"/>
        <v>0</v>
      </c>
      <c r="L246" s="172">
        <f t="shared" si="61"/>
        <v>3500</v>
      </c>
      <c r="M246" s="172">
        <f t="shared" si="61"/>
        <v>0</v>
      </c>
      <c r="N246" s="172">
        <f t="shared" si="61"/>
        <v>3500</v>
      </c>
      <c r="O246" s="178">
        <f t="shared" si="52"/>
        <v>3500</v>
      </c>
      <c r="P246" s="92">
        <f t="shared" si="53"/>
        <v>0</v>
      </c>
    </row>
    <row r="247" spans="1:18" ht="31.5" x14ac:dyDescent="0.2">
      <c r="A247" s="42"/>
      <c r="B247" s="168" t="s">
        <v>254</v>
      </c>
      <c r="C247" s="169" t="s">
        <v>255</v>
      </c>
      <c r="D247" s="170" t="s">
        <v>26</v>
      </c>
      <c r="E247" s="171"/>
      <c r="F247" s="172">
        <f t="shared" si="61"/>
        <v>3500</v>
      </c>
      <c r="G247" s="172">
        <f t="shared" si="61"/>
        <v>0</v>
      </c>
      <c r="H247" s="172">
        <f t="shared" si="61"/>
        <v>3500</v>
      </c>
      <c r="I247" s="188">
        <f t="shared" si="61"/>
        <v>0</v>
      </c>
      <c r="J247" s="189"/>
      <c r="K247" s="188">
        <f t="shared" si="61"/>
        <v>0</v>
      </c>
      <c r="L247" s="172">
        <f t="shared" si="61"/>
        <v>3500</v>
      </c>
      <c r="M247" s="172">
        <f t="shared" si="61"/>
        <v>0</v>
      </c>
      <c r="N247" s="172">
        <f t="shared" si="61"/>
        <v>3500</v>
      </c>
      <c r="O247" s="178">
        <f t="shared" si="52"/>
        <v>3500</v>
      </c>
      <c r="P247" s="92">
        <f t="shared" si="53"/>
        <v>0</v>
      </c>
    </row>
    <row r="248" spans="1:18" ht="31.5" x14ac:dyDescent="0.2">
      <c r="A248" s="42"/>
      <c r="B248" s="168" t="s">
        <v>35</v>
      </c>
      <c r="C248" s="169" t="s">
        <v>255</v>
      </c>
      <c r="D248" s="170" t="s">
        <v>36</v>
      </c>
      <c r="E248" s="171"/>
      <c r="F248" s="172">
        <v>3500</v>
      </c>
      <c r="G248" s="172"/>
      <c r="H248" s="172">
        <v>3500</v>
      </c>
      <c r="I248" s="188">
        <v>0</v>
      </c>
      <c r="J248" s="189"/>
      <c r="K248" s="188">
        <v>0</v>
      </c>
      <c r="L248" s="172">
        <v>3500</v>
      </c>
      <c r="M248" s="172"/>
      <c r="N248" s="172">
        <v>3500</v>
      </c>
      <c r="O248" s="178">
        <f t="shared" si="52"/>
        <v>3500</v>
      </c>
      <c r="P248" s="92">
        <f t="shared" si="53"/>
        <v>0</v>
      </c>
    </row>
    <row r="249" spans="1:18" ht="18.75" x14ac:dyDescent="0.2">
      <c r="A249" s="49"/>
      <c r="B249" s="190" t="s">
        <v>256</v>
      </c>
      <c r="C249" s="191" t="s">
        <v>257</v>
      </c>
      <c r="D249" s="192" t="s">
        <v>26</v>
      </c>
      <c r="E249" s="193"/>
      <c r="F249" s="194">
        <f t="shared" ref="F249:N251" si="62">F250</f>
        <v>2086</v>
      </c>
      <c r="G249" s="194">
        <f t="shared" si="62"/>
        <v>175.9</v>
      </c>
      <c r="H249" s="194">
        <f t="shared" si="62"/>
        <v>2261.9</v>
      </c>
      <c r="I249" s="195">
        <f t="shared" si="62"/>
        <v>0</v>
      </c>
      <c r="J249" s="194">
        <f>J250</f>
        <v>0</v>
      </c>
      <c r="K249" s="195">
        <f t="shared" si="62"/>
        <v>0</v>
      </c>
      <c r="L249" s="194">
        <f t="shared" si="62"/>
        <v>2086</v>
      </c>
      <c r="M249" s="194">
        <f t="shared" si="62"/>
        <v>175.9</v>
      </c>
      <c r="N249" s="194">
        <f t="shared" si="62"/>
        <v>2261.9</v>
      </c>
      <c r="O249" s="178">
        <f t="shared" si="52"/>
        <v>2261.9</v>
      </c>
      <c r="P249" s="92">
        <f t="shared" si="53"/>
        <v>0</v>
      </c>
    </row>
    <row r="250" spans="1:18" ht="31.5" x14ac:dyDescent="0.2">
      <c r="A250" s="42"/>
      <c r="B250" s="168" t="s">
        <v>258</v>
      </c>
      <c r="C250" s="169" t="s">
        <v>259</v>
      </c>
      <c r="D250" s="170" t="s">
        <v>26</v>
      </c>
      <c r="E250" s="171"/>
      <c r="F250" s="172">
        <f t="shared" si="62"/>
        <v>2086</v>
      </c>
      <c r="G250" s="172">
        <f t="shared" si="62"/>
        <v>175.9</v>
      </c>
      <c r="H250" s="172">
        <f t="shared" si="62"/>
        <v>2261.9</v>
      </c>
      <c r="I250" s="188">
        <f t="shared" si="62"/>
        <v>0</v>
      </c>
      <c r="J250" s="189"/>
      <c r="K250" s="188">
        <f t="shared" si="62"/>
        <v>0</v>
      </c>
      <c r="L250" s="172">
        <f t="shared" si="62"/>
        <v>2086</v>
      </c>
      <c r="M250" s="172">
        <f t="shared" si="62"/>
        <v>175.9</v>
      </c>
      <c r="N250" s="172">
        <f t="shared" si="62"/>
        <v>2261.9</v>
      </c>
      <c r="O250" s="178">
        <f t="shared" si="52"/>
        <v>2261.9</v>
      </c>
      <c r="P250" s="92">
        <f t="shared" si="53"/>
        <v>0</v>
      </c>
    </row>
    <row r="251" spans="1:18" ht="31.5" x14ac:dyDescent="0.2">
      <c r="A251" s="42"/>
      <c r="B251" s="168" t="s">
        <v>254</v>
      </c>
      <c r="C251" s="169" t="s">
        <v>260</v>
      </c>
      <c r="D251" s="170" t="s">
        <v>26</v>
      </c>
      <c r="E251" s="171"/>
      <c r="F251" s="172">
        <f t="shared" si="62"/>
        <v>2086</v>
      </c>
      <c r="G251" s="172">
        <f t="shared" si="62"/>
        <v>175.9</v>
      </c>
      <c r="H251" s="172">
        <f t="shared" si="62"/>
        <v>2261.9</v>
      </c>
      <c r="I251" s="188">
        <f t="shared" si="62"/>
        <v>0</v>
      </c>
      <c r="J251" s="189"/>
      <c r="K251" s="188">
        <f t="shared" si="62"/>
        <v>0</v>
      </c>
      <c r="L251" s="172">
        <f t="shared" si="62"/>
        <v>2086</v>
      </c>
      <c r="M251" s="172">
        <f t="shared" si="62"/>
        <v>175.9</v>
      </c>
      <c r="N251" s="172">
        <f t="shared" si="62"/>
        <v>2261.9</v>
      </c>
      <c r="O251" s="178">
        <f t="shared" si="52"/>
        <v>2261.9</v>
      </c>
      <c r="P251" s="92">
        <f t="shared" si="53"/>
        <v>0</v>
      </c>
    </row>
    <row r="252" spans="1:18" ht="63" x14ac:dyDescent="0.2">
      <c r="A252" s="42"/>
      <c r="B252" s="168" t="s">
        <v>261</v>
      </c>
      <c r="C252" s="169" t="s">
        <v>260</v>
      </c>
      <c r="D252" s="170" t="s">
        <v>36</v>
      </c>
      <c r="E252" s="171"/>
      <c r="F252" s="172">
        <v>2086</v>
      </c>
      <c r="G252" s="172">
        <v>175.9</v>
      </c>
      <c r="H252" s="172">
        <f>SUM(F252)+G252</f>
        <v>2261.9</v>
      </c>
      <c r="I252" s="188">
        <v>0</v>
      </c>
      <c r="J252" s="189"/>
      <c r="K252" s="188">
        <v>0</v>
      </c>
      <c r="L252" s="172">
        <f>SUM(F252)</f>
        <v>2086</v>
      </c>
      <c r="M252" s="172">
        <f>SUM(G252)</f>
        <v>175.9</v>
      </c>
      <c r="N252" s="172">
        <f>SUM(H252)</f>
        <v>2261.9</v>
      </c>
      <c r="O252" s="178">
        <f t="shared" si="52"/>
        <v>2261.9</v>
      </c>
      <c r="P252" s="92">
        <f t="shared" si="53"/>
        <v>0</v>
      </c>
    </row>
    <row r="253" spans="1:18" ht="31.5" x14ac:dyDescent="0.2">
      <c r="A253" s="19" t="s">
        <v>262</v>
      </c>
      <c r="B253" s="182" t="s">
        <v>263</v>
      </c>
      <c r="C253" s="183" t="s">
        <v>264</v>
      </c>
      <c r="D253" s="184" t="s">
        <v>26</v>
      </c>
      <c r="E253" s="185"/>
      <c r="F253" s="186">
        <f t="shared" ref="F253:N253" si="63">F254+F276+F280+F286+F290</f>
        <v>45707.600000000006</v>
      </c>
      <c r="G253" s="186">
        <f>G254+G276+G280+G286+G290</f>
        <v>2214.1999999999998</v>
      </c>
      <c r="H253" s="186">
        <f t="shared" si="63"/>
        <v>47921.8</v>
      </c>
      <c r="I253" s="187">
        <f t="shared" si="63"/>
        <v>0</v>
      </c>
      <c r="J253" s="186">
        <f t="shared" si="63"/>
        <v>0</v>
      </c>
      <c r="K253" s="187">
        <f t="shared" si="63"/>
        <v>0</v>
      </c>
      <c r="L253" s="186">
        <f t="shared" si="63"/>
        <v>45707.600000000006</v>
      </c>
      <c r="M253" s="186">
        <f>M254+M276+M280+M286+M290</f>
        <v>2214.1999999999998</v>
      </c>
      <c r="N253" s="271">
        <f t="shared" si="63"/>
        <v>47921.8</v>
      </c>
      <c r="O253" s="178">
        <f t="shared" si="52"/>
        <v>47921.8</v>
      </c>
      <c r="P253" s="92">
        <f t="shared" si="53"/>
        <v>0</v>
      </c>
      <c r="Q253" s="25">
        <v>47921.9</v>
      </c>
      <c r="R253" s="280">
        <f>Q253-N253</f>
        <v>9.9999999998544808E-2</v>
      </c>
    </row>
    <row r="254" spans="1:18" ht="49.9" customHeight="1" x14ac:dyDescent="0.2">
      <c r="A254" s="49"/>
      <c r="B254" s="190" t="s">
        <v>265</v>
      </c>
      <c r="C254" s="191" t="s">
        <v>266</v>
      </c>
      <c r="D254" s="192" t="s">
        <v>26</v>
      </c>
      <c r="E254" s="193"/>
      <c r="F254" s="194">
        <f t="shared" ref="F254:N254" si="64">F255+F266+F269</f>
        <v>34679.4</v>
      </c>
      <c r="G254" s="194">
        <f>G255+G266+G269</f>
        <v>1968.4</v>
      </c>
      <c r="H254" s="194">
        <f t="shared" si="64"/>
        <v>36647.800000000003</v>
      </c>
      <c r="I254" s="195">
        <f t="shared" si="64"/>
        <v>0</v>
      </c>
      <c r="J254" s="194">
        <f t="shared" si="64"/>
        <v>0</v>
      </c>
      <c r="K254" s="195">
        <f t="shared" si="64"/>
        <v>0</v>
      </c>
      <c r="L254" s="194">
        <f t="shared" si="64"/>
        <v>34679.4</v>
      </c>
      <c r="M254" s="194">
        <f t="shared" si="64"/>
        <v>1968.4</v>
      </c>
      <c r="N254" s="275">
        <f t="shared" si="64"/>
        <v>36647.800000000003</v>
      </c>
      <c r="O254" s="178">
        <f t="shared" si="52"/>
        <v>36647.800000000003</v>
      </c>
      <c r="P254" s="92">
        <f t="shared" si="53"/>
        <v>0</v>
      </c>
      <c r="Q254" s="55"/>
    </row>
    <row r="255" spans="1:18" ht="50.45" customHeight="1" x14ac:dyDescent="0.2">
      <c r="A255" s="42"/>
      <c r="B255" s="168" t="s">
        <v>267</v>
      </c>
      <c r="C255" s="169" t="s">
        <v>268</v>
      </c>
      <c r="D255" s="170" t="s">
        <v>26</v>
      </c>
      <c r="E255" s="171"/>
      <c r="F255" s="172">
        <f>F256+F260+F264+F262</f>
        <v>19578.7</v>
      </c>
      <c r="G255" s="172">
        <f>G256+G260+G264+G262</f>
        <v>142.29999999999998</v>
      </c>
      <c r="H255" s="172">
        <f>H256+H260+H264+H262</f>
        <v>19721</v>
      </c>
      <c r="I255" s="188">
        <f>I256+I260+I264</f>
        <v>0</v>
      </c>
      <c r="J255" s="189"/>
      <c r="K255" s="188">
        <f>K256+K260+K264</f>
        <v>0</v>
      </c>
      <c r="L255" s="172">
        <f>L256+L260+L264+L262</f>
        <v>19578.7</v>
      </c>
      <c r="M255" s="172">
        <f>M256+M260+M264+M262</f>
        <v>142.29999999999998</v>
      </c>
      <c r="N255" s="172">
        <f>N256+N260+N264+N262</f>
        <v>19721</v>
      </c>
      <c r="O255" s="178">
        <f t="shared" si="52"/>
        <v>19721</v>
      </c>
      <c r="P255" s="92">
        <f t="shared" si="53"/>
        <v>0</v>
      </c>
      <c r="Q255" s="48"/>
    </row>
    <row r="256" spans="1:18" ht="31.5" x14ac:dyDescent="0.2">
      <c r="A256" s="42"/>
      <c r="B256" s="168" t="s">
        <v>39</v>
      </c>
      <c r="C256" s="169" t="s">
        <v>269</v>
      </c>
      <c r="D256" s="170" t="s">
        <v>26</v>
      </c>
      <c r="E256" s="171"/>
      <c r="F256" s="172">
        <f>F257+F258+F259</f>
        <v>11968.5</v>
      </c>
      <c r="G256" s="172">
        <f>SUM(G258)+G257</f>
        <v>0</v>
      </c>
      <c r="H256" s="172">
        <f>H257+H258+H259</f>
        <v>11968.5</v>
      </c>
      <c r="I256" s="188">
        <f>I257+I258+I259</f>
        <v>0</v>
      </c>
      <c r="J256" s="189"/>
      <c r="K256" s="188">
        <f>K257+K258+K259</f>
        <v>0</v>
      </c>
      <c r="L256" s="172">
        <f>L257+L258+L259</f>
        <v>11968.5</v>
      </c>
      <c r="M256" s="172">
        <f>SUM(G256)</f>
        <v>0</v>
      </c>
      <c r="N256" s="172">
        <f>N257+N258+N259</f>
        <v>11968.5</v>
      </c>
      <c r="O256" s="178">
        <f t="shared" si="52"/>
        <v>11968.5</v>
      </c>
      <c r="P256" s="92">
        <f t="shared" si="53"/>
        <v>0</v>
      </c>
    </row>
    <row r="257" spans="1:16" ht="64.900000000000006" customHeight="1" x14ac:dyDescent="0.2">
      <c r="A257" s="42"/>
      <c r="B257" s="168" t="s">
        <v>31</v>
      </c>
      <c r="C257" s="169" t="s">
        <v>269</v>
      </c>
      <c r="D257" s="170" t="s">
        <v>32</v>
      </c>
      <c r="E257" s="171"/>
      <c r="F257" s="172">
        <v>10420.200000000001</v>
      </c>
      <c r="G257" s="172"/>
      <c r="H257" s="172">
        <f>SUM(F257)</f>
        <v>10420.200000000001</v>
      </c>
      <c r="I257" s="188">
        <v>0</v>
      </c>
      <c r="J257" s="189"/>
      <c r="K257" s="188">
        <v>0</v>
      </c>
      <c r="L257" s="172">
        <f t="shared" ref="L257:N258" si="65">SUM(F257)</f>
        <v>10420.200000000001</v>
      </c>
      <c r="M257" s="172">
        <f t="shared" si="65"/>
        <v>0</v>
      </c>
      <c r="N257" s="172">
        <f t="shared" si="65"/>
        <v>10420.200000000001</v>
      </c>
      <c r="O257" s="178">
        <f t="shared" si="52"/>
        <v>10420.200000000001</v>
      </c>
      <c r="P257" s="92">
        <f t="shared" si="53"/>
        <v>0</v>
      </c>
    </row>
    <row r="258" spans="1:16" ht="31.5" x14ac:dyDescent="0.2">
      <c r="A258" s="42"/>
      <c r="B258" s="168" t="s">
        <v>35</v>
      </c>
      <c r="C258" s="169" t="s">
        <v>269</v>
      </c>
      <c r="D258" s="170" t="s">
        <v>36</v>
      </c>
      <c r="E258" s="171"/>
      <c r="F258" s="172">
        <v>1525.3</v>
      </c>
      <c r="G258" s="172"/>
      <c r="H258" s="172">
        <v>1525.3</v>
      </c>
      <c r="I258" s="188">
        <v>0</v>
      </c>
      <c r="J258" s="189"/>
      <c r="K258" s="188">
        <v>0</v>
      </c>
      <c r="L258" s="172">
        <f t="shared" si="65"/>
        <v>1525.3</v>
      </c>
      <c r="M258" s="172">
        <f t="shared" si="65"/>
        <v>0</v>
      </c>
      <c r="N258" s="172">
        <f t="shared" si="65"/>
        <v>1525.3</v>
      </c>
      <c r="O258" s="178">
        <f t="shared" si="52"/>
        <v>1525.3</v>
      </c>
      <c r="P258" s="92">
        <f t="shared" si="53"/>
        <v>0</v>
      </c>
    </row>
    <row r="259" spans="1:16" ht="18.75" x14ac:dyDescent="0.2">
      <c r="A259" s="42"/>
      <c r="B259" s="168" t="s">
        <v>41</v>
      </c>
      <c r="C259" s="169" t="s">
        <v>269</v>
      </c>
      <c r="D259" s="170" t="s">
        <v>42</v>
      </c>
      <c r="E259" s="171"/>
      <c r="F259" s="172">
        <v>23</v>
      </c>
      <c r="G259" s="172"/>
      <c r="H259" s="172">
        <v>23</v>
      </c>
      <c r="I259" s="188">
        <v>0</v>
      </c>
      <c r="J259" s="189"/>
      <c r="K259" s="188">
        <v>0</v>
      </c>
      <c r="L259" s="172">
        <v>23</v>
      </c>
      <c r="M259" s="172"/>
      <c r="N259" s="172">
        <v>23</v>
      </c>
      <c r="O259" s="178">
        <f t="shared" si="52"/>
        <v>23</v>
      </c>
      <c r="P259" s="92">
        <f t="shared" si="53"/>
        <v>0</v>
      </c>
    </row>
    <row r="260" spans="1:16" ht="48.6" customHeight="1" x14ac:dyDescent="0.2">
      <c r="A260" s="42"/>
      <c r="B260" s="168" t="s">
        <v>270</v>
      </c>
      <c r="C260" s="169" t="s">
        <v>271</v>
      </c>
      <c r="D260" s="170" t="s">
        <v>26</v>
      </c>
      <c r="E260" s="171"/>
      <c r="F260" s="172">
        <f>F261</f>
        <v>5410.2</v>
      </c>
      <c r="G260" s="172">
        <f>G261</f>
        <v>257.39999999999998</v>
      </c>
      <c r="H260" s="172">
        <f>H261</f>
        <v>5667.5999999999995</v>
      </c>
      <c r="I260" s="188">
        <f>I261</f>
        <v>0</v>
      </c>
      <c r="J260" s="189"/>
      <c r="K260" s="188">
        <f>K261</f>
        <v>0</v>
      </c>
      <c r="L260" s="172">
        <f>L261</f>
        <v>5410.2</v>
      </c>
      <c r="M260" s="172">
        <f>M261</f>
        <v>257.39999999999998</v>
      </c>
      <c r="N260" s="172">
        <f>N261</f>
        <v>5667.5999999999995</v>
      </c>
      <c r="O260" s="178">
        <f t="shared" si="52"/>
        <v>5667.5999999999995</v>
      </c>
      <c r="P260" s="92">
        <f t="shared" si="53"/>
        <v>0</v>
      </c>
    </row>
    <row r="261" spans="1:16" ht="31.5" x14ac:dyDescent="0.2">
      <c r="A261" s="42"/>
      <c r="B261" s="168" t="s">
        <v>35</v>
      </c>
      <c r="C261" s="169" t="s">
        <v>271</v>
      </c>
      <c r="D261" s="170" t="s">
        <v>36</v>
      </c>
      <c r="E261" s="171"/>
      <c r="F261" s="172">
        <v>5410.2</v>
      </c>
      <c r="G261" s="172">
        <v>257.39999999999998</v>
      </c>
      <c r="H261" s="172">
        <f>SUM(F261)+G261</f>
        <v>5667.5999999999995</v>
      </c>
      <c r="I261" s="188">
        <v>0</v>
      </c>
      <c r="J261" s="189"/>
      <c r="K261" s="188">
        <v>0</v>
      </c>
      <c r="L261" s="172">
        <f t="shared" ref="L261:N263" si="66">SUM(F261)</f>
        <v>5410.2</v>
      </c>
      <c r="M261" s="172">
        <f t="shared" si="66"/>
        <v>257.39999999999998</v>
      </c>
      <c r="N261" s="172">
        <f t="shared" si="66"/>
        <v>5667.5999999999995</v>
      </c>
      <c r="O261" s="178">
        <f t="shared" si="52"/>
        <v>5667.5999999999995</v>
      </c>
      <c r="P261" s="92">
        <f t="shared" si="53"/>
        <v>0</v>
      </c>
    </row>
    <row r="262" spans="1:16" ht="28.5" customHeight="1" x14ac:dyDescent="0.2">
      <c r="A262" s="42"/>
      <c r="B262" s="213" t="s">
        <v>456</v>
      </c>
      <c r="C262" s="169" t="s">
        <v>455</v>
      </c>
      <c r="D262" s="170"/>
      <c r="E262" s="171"/>
      <c r="F262" s="172">
        <v>1200</v>
      </c>
      <c r="G262" s="172">
        <f>G263</f>
        <v>-115.1</v>
      </c>
      <c r="H262" s="172">
        <f>F262+G262</f>
        <v>1084.9000000000001</v>
      </c>
      <c r="I262" s="188"/>
      <c r="J262" s="189"/>
      <c r="K262" s="188"/>
      <c r="L262" s="172">
        <f t="shared" si="66"/>
        <v>1200</v>
      </c>
      <c r="M262" s="172">
        <f t="shared" si="66"/>
        <v>-115.1</v>
      </c>
      <c r="N262" s="172">
        <f t="shared" si="66"/>
        <v>1084.9000000000001</v>
      </c>
      <c r="O262" s="178">
        <f t="shared" si="52"/>
        <v>1084.9000000000001</v>
      </c>
      <c r="P262" s="92">
        <f t="shared" si="53"/>
        <v>0</v>
      </c>
    </row>
    <row r="263" spans="1:16" ht="31.5" x14ac:dyDescent="0.2">
      <c r="A263" s="42"/>
      <c r="B263" s="168" t="s">
        <v>35</v>
      </c>
      <c r="C263" s="169" t="s">
        <v>455</v>
      </c>
      <c r="D263" s="170" t="s">
        <v>36</v>
      </c>
      <c r="E263" s="171"/>
      <c r="F263" s="172">
        <v>1200</v>
      </c>
      <c r="G263" s="172">
        <v>-115.1</v>
      </c>
      <c r="H263" s="172">
        <f>F263+G263</f>
        <v>1084.9000000000001</v>
      </c>
      <c r="I263" s="188"/>
      <c r="J263" s="189"/>
      <c r="K263" s="188"/>
      <c r="L263" s="172">
        <f t="shared" si="66"/>
        <v>1200</v>
      </c>
      <c r="M263" s="172">
        <f t="shared" si="66"/>
        <v>-115.1</v>
      </c>
      <c r="N263" s="172">
        <f t="shared" si="66"/>
        <v>1084.9000000000001</v>
      </c>
      <c r="O263" s="178">
        <f t="shared" si="52"/>
        <v>1084.9000000000001</v>
      </c>
      <c r="P263" s="92">
        <f t="shared" si="53"/>
        <v>0</v>
      </c>
    </row>
    <row r="264" spans="1:16" ht="47.25" x14ac:dyDescent="0.2">
      <c r="A264" s="42"/>
      <c r="B264" s="168" t="s">
        <v>272</v>
      </c>
      <c r="C264" s="169" t="s">
        <v>273</v>
      </c>
      <c r="D264" s="170" t="s">
        <v>26</v>
      </c>
      <c r="E264" s="171"/>
      <c r="F264" s="172">
        <f>F265</f>
        <v>1000</v>
      </c>
      <c r="G264" s="172">
        <f>G265</f>
        <v>0</v>
      </c>
      <c r="H264" s="172">
        <f>H265</f>
        <v>1000</v>
      </c>
      <c r="I264" s="188">
        <f>I265</f>
        <v>0</v>
      </c>
      <c r="J264" s="189"/>
      <c r="K264" s="188">
        <f>K265</f>
        <v>0</v>
      </c>
      <c r="L264" s="172">
        <f>L265</f>
        <v>1000</v>
      </c>
      <c r="M264" s="172">
        <f>M265</f>
        <v>0</v>
      </c>
      <c r="N264" s="172">
        <f>N265</f>
        <v>1000</v>
      </c>
      <c r="O264" s="178">
        <f t="shared" si="52"/>
        <v>1000</v>
      </c>
      <c r="P264" s="92">
        <f t="shared" si="53"/>
        <v>0</v>
      </c>
    </row>
    <row r="265" spans="1:16" ht="31.5" x14ac:dyDescent="0.2">
      <c r="A265" s="42"/>
      <c r="B265" s="168" t="s">
        <v>35</v>
      </c>
      <c r="C265" s="169" t="s">
        <v>273</v>
      </c>
      <c r="D265" s="170" t="s">
        <v>36</v>
      </c>
      <c r="E265" s="171"/>
      <c r="F265" s="172">
        <v>1000</v>
      </c>
      <c r="G265" s="172"/>
      <c r="H265" s="172">
        <v>1000</v>
      </c>
      <c r="I265" s="188">
        <v>0</v>
      </c>
      <c r="J265" s="189"/>
      <c r="K265" s="188">
        <v>0</v>
      </c>
      <c r="L265" s="172">
        <v>1000</v>
      </c>
      <c r="M265" s="172"/>
      <c r="N265" s="172">
        <v>1000</v>
      </c>
      <c r="O265" s="178">
        <f t="shared" si="52"/>
        <v>1000</v>
      </c>
      <c r="P265" s="92">
        <f t="shared" si="53"/>
        <v>0</v>
      </c>
    </row>
    <row r="266" spans="1:16" ht="31.5" x14ac:dyDescent="0.2">
      <c r="A266" s="42"/>
      <c r="B266" s="168" t="s">
        <v>274</v>
      </c>
      <c r="C266" s="169" t="s">
        <v>275</v>
      </c>
      <c r="D266" s="170" t="s">
        <v>26</v>
      </c>
      <c r="E266" s="171"/>
      <c r="F266" s="172">
        <f t="shared" ref="F266:N267" si="67">F267</f>
        <v>13584.1</v>
      </c>
      <c r="G266" s="172">
        <f>G267</f>
        <v>1694.3000000000002</v>
      </c>
      <c r="H266" s="172">
        <f t="shared" si="67"/>
        <v>15278.400000000001</v>
      </c>
      <c r="I266" s="188">
        <f t="shared" si="67"/>
        <v>0</v>
      </c>
      <c r="J266" s="189"/>
      <c r="K266" s="188">
        <f t="shared" si="67"/>
        <v>0</v>
      </c>
      <c r="L266" s="172">
        <f t="shared" si="67"/>
        <v>13584.1</v>
      </c>
      <c r="M266" s="172">
        <f t="shared" si="67"/>
        <v>1694.3000000000002</v>
      </c>
      <c r="N266" s="172">
        <f t="shared" si="67"/>
        <v>15278.400000000001</v>
      </c>
      <c r="O266" s="178">
        <f t="shared" si="52"/>
        <v>15278.400000000001</v>
      </c>
      <c r="P266" s="92">
        <f t="shared" si="53"/>
        <v>0</v>
      </c>
    </row>
    <row r="267" spans="1:16" ht="78.75" x14ac:dyDescent="0.2">
      <c r="A267" s="42"/>
      <c r="B267" s="168" t="s">
        <v>276</v>
      </c>
      <c r="C267" s="169" t="s">
        <v>277</v>
      </c>
      <c r="D267" s="170" t="s">
        <v>26</v>
      </c>
      <c r="E267" s="171"/>
      <c r="F267" s="172">
        <f t="shared" si="67"/>
        <v>13584.1</v>
      </c>
      <c r="G267" s="172">
        <f t="shared" si="67"/>
        <v>1694.3000000000002</v>
      </c>
      <c r="H267" s="172">
        <f t="shared" si="67"/>
        <v>15278.400000000001</v>
      </c>
      <c r="I267" s="188">
        <f t="shared" si="67"/>
        <v>0</v>
      </c>
      <c r="J267" s="189"/>
      <c r="K267" s="188">
        <f t="shared" si="67"/>
        <v>0</v>
      </c>
      <c r="L267" s="172">
        <f t="shared" si="67"/>
        <v>13584.1</v>
      </c>
      <c r="M267" s="172">
        <f t="shared" si="67"/>
        <v>1694.3000000000002</v>
      </c>
      <c r="N267" s="172">
        <f t="shared" si="67"/>
        <v>15278.400000000001</v>
      </c>
      <c r="O267" s="178">
        <f t="shared" si="52"/>
        <v>15278.400000000001</v>
      </c>
      <c r="P267" s="92">
        <f t="shared" si="53"/>
        <v>0</v>
      </c>
    </row>
    <row r="268" spans="1:16" ht="18.75" x14ac:dyDescent="0.2">
      <c r="A268" s="42"/>
      <c r="B268" s="168" t="s">
        <v>278</v>
      </c>
      <c r="C268" s="169" t="s">
        <v>277</v>
      </c>
      <c r="D268" s="170" t="s">
        <v>279</v>
      </c>
      <c r="E268" s="171"/>
      <c r="F268" s="172">
        <f>13584.2-0.1</f>
        <v>13584.1</v>
      </c>
      <c r="G268" s="172">
        <f>1694.4-0.1</f>
        <v>1694.3000000000002</v>
      </c>
      <c r="H268" s="172">
        <f>13584.2-0.1+G268</f>
        <v>15278.400000000001</v>
      </c>
      <c r="I268" s="188">
        <v>0</v>
      </c>
      <c r="J268" s="189"/>
      <c r="K268" s="188">
        <v>0</v>
      </c>
      <c r="L268" s="172">
        <f>13584.2-0.1</f>
        <v>13584.1</v>
      </c>
      <c r="M268" s="172">
        <f>SUM(G268)</f>
        <v>1694.3000000000002</v>
      </c>
      <c r="N268" s="172">
        <f>13584.2-0.1+M268</f>
        <v>15278.400000000001</v>
      </c>
      <c r="O268" s="178">
        <f t="shared" si="52"/>
        <v>15278.400000000001</v>
      </c>
      <c r="P268" s="92">
        <f t="shared" si="53"/>
        <v>0</v>
      </c>
    </row>
    <row r="269" spans="1:16" ht="47.25" x14ac:dyDescent="0.2">
      <c r="A269" s="42"/>
      <c r="B269" s="168" t="s">
        <v>280</v>
      </c>
      <c r="C269" s="169" t="s">
        <v>281</v>
      </c>
      <c r="D269" s="170" t="s">
        <v>26</v>
      </c>
      <c r="E269" s="171"/>
      <c r="F269" s="172">
        <f t="shared" ref="F269:N270" si="68">F270</f>
        <v>1516.6000000000001</v>
      </c>
      <c r="G269" s="172">
        <f t="shared" si="68"/>
        <v>131.80000000000001</v>
      </c>
      <c r="H269" s="172">
        <f t="shared" si="68"/>
        <v>1648.4</v>
      </c>
      <c r="I269" s="188">
        <f t="shared" si="68"/>
        <v>0</v>
      </c>
      <c r="J269" s="189"/>
      <c r="K269" s="188">
        <f t="shared" si="68"/>
        <v>0</v>
      </c>
      <c r="L269" s="172">
        <f t="shared" si="68"/>
        <v>1516.6000000000001</v>
      </c>
      <c r="M269" s="172">
        <f t="shared" si="68"/>
        <v>131.80000000000001</v>
      </c>
      <c r="N269" s="172">
        <f t="shared" si="68"/>
        <v>1648.4</v>
      </c>
      <c r="O269" s="178">
        <f t="shared" si="52"/>
        <v>1648.4</v>
      </c>
      <c r="P269" s="92">
        <f t="shared" si="53"/>
        <v>0</v>
      </c>
    </row>
    <row r="270" spans="1:16" ht="67.900000000000006" customHeight="1" x14ac:dyDescent="0.2">
      <c r="A270" s="42"/>
      <c r="B270" s="168" t="s">
        <v>282</v>
      </c>
      <c r="C270" s="169" t="s">
        <v>283</v>
      </c>
      <c r="D270" s="170" t="s">
        <v>26</v>
      </c>
      <c r="E270" s="171"/>
      <c r="F270" s="172">
        <f t="shared" si="68"/>
        <v>1516.6000000000001</v>
      </c>
      <c r="G270" s="172">
        <f t="shared" si="68"/>
        <v>131.80000000000001</v>
      </c>
      <c r="H270" s="172">
        <f t="shared" si="68"/>
        <v>1648.4</v>
      </c>
      <c r="I270" s="188">
        <f t="shared" si="68"/>
        <v>0</v>
      </c>
      <c r="J270" s="189"/>
      <c r="K270" s="188">
        <f t="shared" si="68"/>
        <v>0</v>
      </c>
      <c r="L270" s="172">
        <f t="shared" si="68"/>
        <v>1516.6000000000001</v>
      </c>
      <c r="M270" s="172">
        <f t="shared" si="68"/>
        <v>131.80000000000001</v>
      </c>
      <c r="N270" s="172">
        <f t="shared" si="68"/>
        <v>1648.4</v>
      </c>
      <c r="O270" s="178">
        <f t="shared" si="52"/>
        <v>1648.4</v>
      </c>
      <c r="P270" s="92">
        <f t="shared" si="53"/>
        <v>0</v>
      </c>
    </row>
    <row r="271" spans="1:16" ht="18.75" x14ac:dyDescent="0.2">
      <c r="A271" s="42"/>
      <c r="B271" s="168" t="s">
        <v>278</v>
      </c>
      <c r="C271" s="169" t="s">
        <v>283</v>
      </c>
      <c r="D271" s="170" t="s">
        <v>279</v>
      </c>
      <c r="E271" s="171"/>
      <c r="F271" s="172">
        <f>1516.7-0.1</f>
        <v>1516.6000000000001</v>
      </c>
      <c r="G271" s="172">
        <v>131.80000000000001</v>
      </c>
      <c r="H271" s="172">
        <f>1516.7-0.1+G271</f>
        <v>1648.4</v>
      </c>
      <c r="I271" s="188">
        <v>0</v>
      </c>
      <c r="J271" s="189"/>
      <c r="K271" s="188">
        <v>0</v>
      </c>
      <c r="L271" s="172">
        <f>1516.7-0.1</f>
        <v>1516.6000000000001</v>
      </c>
      <c r="M271" s="273">
        <f>SUM(G271)</f>
        <v>131.80000000000001</v>
      </c>
      <c r="N271" s="273">
        <f>1516.7-0.1+M271</f>
        <v>1648.4</v>
      </c>
      <c r="O271" s="178">
        <f t="shared" si="52"/>
        <v>1648.4</v>
      </c>
      <c r="P271" s="92">
        <f t="shared" si="53"/>
        <v>0</v>
      </c>
    </row>
    <row r="272" spans="1:16" ht="0.75" customHeight="1" x14ac:dyDescent="0.2">
      <c r="A272" s="42"/>
      <c r="B272" s="168" t="s">
        <v>448</v>
      </c>
      <c r="C272" s="169" t="s">
        <v>422</v>
      </c>
      <c r="D272" s="170"/>
      <c r="E272" s="171"/>
      <c r="F272" s="172"/>
      <c r="G272" s="172"/>
      <c r="H272" s="172">
        <f>SUM(G272)</f>
        <v>0</v>
      </c>
      <c r="I272" s="188"/>
      <c r="J272" s="189"/>
      <c r="K272" s="188"/>
      <c r="L272" s="172"/>
      <c r="M272" s="172">
        <f t="shared" ref="M272:N275" si="69">SUM(G272)</f>
        <v>0</v>
      </c>
      <c r="N272" s="172">
        <f t="shared" si="69"/>
        <v>0</v>
      </c>
      <c r="O272" s="178">
        <f t="shared" si="52"/>
        <v>0</v>
      </c>
      <c r="P272" s="92">
        <f t="shared" si="53"/>
        <v>0</v>
      </c>
    </row>
    <row r="273" spans="1:16" ht="18.75" hidden="1" x14ac:dyDescent="0.2">
      <c r="A273" s="42"/>
      <c r="B273" s="168" t="s">
        <v>432</v>
      </c>
      <c r="C273" s="169" t="s">
        <v>433</v>
      </c>
      <c r="D273" s="170"/>
      <c r="E273" s="171"/>
      <c r="F273" s="172"/>
      <c r="G273" s="172"/>
      <c r="H273" s="172">
        <f>SUM(G273)</f>
        <v>0</v>
      </c>
      <c r="I273" s="188"/>
      <c r="J273" s="189"/>
      <c r="K273" s="188"/>
      <c r="L273" s="172"/>
      <c r="M273" s="172">
        <f t="shared" si="69"/>
        <v>0</v>
      </c>
      <c r="N273" s="172">
        <f t="shared" si="69"/>
        <v>0</v>
      </c>
      <c r="O273" s="178">
        <f t="shared" ref="O273:O336" si="70">L273+M273</f>
        <v>0</v>
      </c>
      <c r="P273" s="92">
        <f t="shared" ref="P273:P336" si="71">O273-N273</f>
        <v>0</v>
      </c>
    </row>
    <row r="274" spans="1:16" ht="31.5" hidden="1" x14ac:dyDescent="0.2">
      <c r="A274" s="42"/>
      <c r="B274" s="168" t="s">
        <v>434</v>
      </c>
      <c r="C274" s="169" t="s">
        <v>435</v>
      </c>
      <c r="D274" s="170"/>
      <c r="E274" s="171"/>
      <c r="F274" s="172"/>
      <c r="G274" s="172"/>
      <c r="H274" s="172">
        <f>SUM(G274)</f>
        <v>0</v>
      </c>
      <c r="I274" s="188"/>
      <c r="J274" s="189"/>
      <c r="K274" s="188"/>
      <c r="L274" s="172"/>
      <c r="M274" s="172">
        <f t="shared" si="69"/>
        <v>0</v>
      </c>
      <c r="N274" s="172">
        <f t="shared" si="69"/>
        <v>0</v>
      </c>
      <c r="O274" s="178">
        <f t="shared" si="70"/>
        <v>0</v>
      </c>
      <c r="P274" s="92">
        <f t="shared" si="71"/>
        <v>0</v>
      </c>
    </row>
    <row r="275" spans="1:16" ht="31.5" hidden="1" x14ac:dyDescent="0.2">
      <c r="A275" s="42"/>
      <c r="B275" s="168" t="s">
        <v>35</v>
      </c>
      <c r="C275" s="169" t="s">
        <v>435</v>
      </c>
      <c r="D275" s="170" t="s">
        <v>36</v>
      </c>
      <c r="E275" s="171"/>
      <c r="F275" s="172"/>
      <c r="G275" s="172"/>
      <c r="H275" s="172">
        <f>SUM(G275)</f>
        <v>0</v>
      </c>
      <c r="I275" s="188"/>
      <c r="J275" s="189"/>
      <c r="K275" s="188"/>
      <c r="L275" s="172"/>
      <c r="M275" s="172">
        <f t="shared" si="69"/>
        <v>0</v>
      </c>
      <c r="N275" s="172">
        <f t="shared" si="69"/>
        <v>0</v>
      </c>
      <c r="O275" s="178">
        <f t="shared" si="70"/>
        <v>0</v>
      </c>
      <c r="P275" s="92">
        <f t="shared" si="71"/>
        <v>0</v>
      </c>
    </row>
    <row r="276" spans="1:16" ht="18.75" x14ac:dyDescent="0.2">
      <c r="A276" s="49"/>
      <c r="B276" s="190" t="s">
        <v>284</v>
      </c>
      <c r="C276" s="191" t="s">
        <v>285</v>
      </c>
      <c r="D276" s="192" t="s">
        <v>26</v>
      </c>
      <c r="E276" s="193"/>
      <c r="F276" s="194">
        <f t="shared" ref="F276:N278" si="72">F277</f>
        <v>394.4</v>
      </c>
      <c r="G276" s="194">
        <f t="shared" si="72"/>
        <v>-71.3</v>
      </c>
      <c r="H276" s="194">
        <f t="shared" si="72"/>
        <v>323.09999999999997</v>
      </c>
      <c r="I276" s="195">
        <f t="shared" si="72"/>
        <v>0</v>
      </c>
      <c r="J276" s="196"/>
      <c r="K276" s="195">
        <f t="shared" si="72"/>
        <v>0</v>
      </c>
      <c r="L276" s="194">
        <f t="shared" si="72"/>
        <v>394.4</v>
      </c>
      <c r="M276" s="194">
        <f t="shared" si="72"/>
        <v>-71.3</v>
      </c>
      <c r="N276" s="272">
        <f t="shared" si="72"/>
        <v>323.09999999999997</v>
      </c>
      <c r="O276" s="178">
        <f t="shared" si="70"/>
        <v>323.09999999999997</v>
      </c>
      <c r="P276" s="92">
        <f t="shared" si="71"/>
        <v>0</v>
      </c>
    </row>
    <row r="277" spans="1:16" ht="31.5" x14ac:dyDescent="0.2">
      <c r="A277" s="42"/>
      <c r="B277" s="168" t="s">
        <v>286</v>
      </c>
      <c r="C277" s="169" t="s">
        <v>287</v>
      </c>
      <c r="D277" s="170" t="s">
        <v>26</v>
      </c>
      <c r="E277" s="171"/>
      <c r="F277" s="172">
        <f t="shared" si="72"/>
        <v>394.4</v>
      </c>
      <c r="G277" s="172">
        <f t="shared" si="72"/>
        <v>-71.3</v>
      </c>
      <c r="H277" s="172">
        <f t="shared" si="72"/>
        <v>323.09999999999997</v>
      </c>
      <c r="I277" s="188">
        <f t="shared" si="72"/>
        <v>0</v>
      </c>
      <c r="J277" s="189"/>
      <c r="K277" s="188">
        <f t="shared" si="72"/>
        <v>0</v>
      </c>
      <c r="L277" s="172">
        <f t="shared" si="72"/>
        <v>394.4</v>
      </c>
      <c r="M277" s="172">
        <f t="shared" si="72"/>
        <v>-71.3</v>
      </c>
      <c r="N277" s="172">
        <f t="shared" si="72"/>
        <v>323.09999999999997</v>
      </c>
      <c r="O277" s="178">
        <f t="shared" si="70"/>
        <v>323.09999999999997</v>
      </c>
      <c r="P277" s="92">
        <f t="shared" si="71"/>
        <v>0</v>
      </c>
    </row>
    <row r="278" spans="1:16" ht="18.75" x14ac:dyDescent="0.2">
      <c r="A278" s="42"/>
      <c r="B278" s="168" t="s">
        <v>288</v>
      </c>
      <c r="C278" s="169" t="s">
        <v>289</v>
      </c>
      <c r="D278" s="170" t="s">
        <v>26</v>
      </c>
      <c r="E278" s="171"/>
      <c r="F278" s="172">
        <f t="shared" si="72"/>
        <v>394.4</v>
      </c>
      <c r="G278" s="172">
        <f t="shared" si="72"/>
        <v>-71.3</v>
      </c>
      <c r="H278" s="172">
        <f t="shared" si="72"/>
        <v>323.09999999999997</v>
      </c>
      <c r="I278" s="188">
        <f t="shared" si="72"/>
        <v>0</v>
      </c>
      <c r="J278" s="189"/>
      <c r="K278" s="188">
        <f t="shared" si="72"/>
        <v>0</v>
      </c>
      <c r="L278" s="172">
        <f t="shared" si="72"/>
        <v>394.4</v>
      </c>
      <c r="M278" s="172">
        <f t="shared" si="72"/>
        <v>-71.3</v>
      </c>
      <c r="N278" s="172">
        <f t="shared" si="72"/>
        <v>323.09999999999997</v>
      </c>
      <c r="O278" s="178">
        <f t="shared" si="70"/>
        <v>323.09999999999997</v>
      </c>
      <c r="P278" s="92">
        <f t="shared" si="71"/>
        <v>0</v>
      </c>
    </row>
    <row r="279" spans="1:16" ht="31.5" x14ac:dyDescent="0.2">
      <c r="A279" s="42"/>
      <c r="B279" s="168" t="s">
        <v>35</v>
      </c>
      <c r="C279" s="169" t="s">
        <v>289</v>
      </c>
      <c r="D279" s="170" t="s">
        <v>36</v>
      </c>
      <c r="E279" s="171"/>
      <c r="F279" s="172">
        <v>394.4</v>
      </c>
      <c r="G279" s="172">
        <f>-71.2-0.1</f>
        <v>-71.3</v>
      </c>
      <c r="H279" s="172">
        <f>F279+G279</f>
        <v>323.09999999999997</v>
      </c>
      <c r="I279" s="188">
        <v>0</v>
      </c>
      <c r="J279" s="189"/>
      <c r="K279" s="188">
        <v>0</v>
      </c>
      <c r="L279" s="172">
        <f>SUM(F279)</f>
        <v>394.4</v>
      </c>
      <c r="M279" s="172">
        <f>SUM(G279)</f>
        <v>-71.3</v>
      </c>
      <c r="N279" s="172">
        <f>SUM(H279)</f>
        <v>323.09999999999997</v>
      </c>
      <c r="O279" s="178">
        <f t="shared" si="70"/>
        <v>323.09999999999997</v>
      </c>
      <c r="P279" s="92">
        <f t="shared" si="71"/>
        <v>0</v>
      </c>
    </row>
    <row r="280" spans="1:16" ht="24.6" customHeight="1" x14ac:dyDescent="0.2">
      <c r="A280" s="49"/>
      <c r="B280" s="190" t="s">
        <v>290</v>
      </c>
      <c r="C280" s="191" t="s">
        <v>291</v>
      </c>
      <c r="D280" s="192" t="s">
        <v>26</v>
      </c>
      <c r="E280" s="193"/>
      <c r="F280" s="194">
        <f>F281</f>
        <v>7152.3</v>
      </c>
      <c r="G280" s="194">
        <f>G281</f>
        <v>-90.600000000000023</v>
      </c>
      <c r="H280" s="194">
        <f>H281</f>
        <v>7061.7000000000007</v>
      </c>
      <c r="I280" s="195">
        <f>I281</f>
        <v>0</v>
      </c>
      <c r="J280" s="196"/>
      <c r="K280" s="195">
        <f>K281</f>
        <v>0</v>
      </c>
      <c r="L280" s="194">
        <f>L281</f>
        <v>7152.3</v>
      </c>
      <c r="M280" s="194">
        <f>M281</f>
        <v>-90.600000000000023</v>
      </c>
      <c r="N280" s="272">
        <f>N281</f>
        <v>7061.7000000000007</v>
      </c>
      <c r="O280" s="178">
        <f t="shared" si="70"/>
        <v>7061.7</v>
      </c>
      <c r="P280" s="92">
        <f t="shared" si="71"/>
        <v>0</v>
      </c>
    </row>
    <row r="281" spans="1:16" ht="36.6" customHeight="1" x14ac:dyDescent="0.2">
      <c r="A281" s="42"/>
      <c r="B281" s="168" t="s">
        <v>292</v>
      </c>
      <c r="C281" s="169" t="s">
        <v>293</v>
      </c>
      <c r="D281" s="170" t="s">
        <v>26</v>
      </c>
      <c r="E281" s="171"/>
      <c r="F281" s="172">
        <f>F282+F284</f>
        <v>7152.3</v>
      </c>
      <c r="G281" s="172">
        <f>G282+G284</f>
        <v>-90.600000000000023</v>
      </c>
      <c r="H281" s="172">
        <f>H282+H284</f>
        <v>7061.7000000000007</v>
      </c>
      <c r="I281" s="188">
        <f>I282+I284</f>
        <v>0</v>
      </c>
      <c r="J281" s="189"/>
      <c r="K281" s="188">
        <f>K282+K284</f>
        <v>0</v>
      </c>
      <c r="L281" s="172">
        <f>L282+L284</f>
        <v>7152.3</v>
      </c>
      <c r="M281" s="172">
        <f>M282+M284</f>
        <v>-90.600000000000023</v>
      </c>
      <c r="N281" s="172">
        <f>N282+N284</f>
        <v>7061.7000000000007</v>
      </c>
      <c r="O281" s="178">
        <f t="shared" si="70"/>
        <v>7061.7</v>
      </c>
      <c r="P281" s="92">
        <f t="shared" si="71"/>
        <v>0</v>
      </c>
    </row>
    <row r="282" spans="1:16" ht="22.15" customHeight="1" x14ac:dyDescent="0.2">
      <c r="A282" s="42"/>
      <c r="B282" s="168" t="s">
        <v>294</v>
      </c>
      <c r="C282" s="169" t="s">
        <v>295</v>
      </c>
      <c r="D282" s="170" t="s">
        <v>26</v>
      </c>
      <c r="E282" s="171"/>
      <c r="F282" s="172">
        <f>F283</f>
        <v>2087.5</v>
      </c>
      <c r="G282" s="172">
        <f>G283</f>
        <v>-566.9</v>
      </c>
      <c r="H282" s="172">
        <f>H283</f>
        <v>1520.6</v>
      </c>
      <c r="I282" s="188">
        <f>I283</f>
        <v>0</v>
      </c>
      <c r="J282" s="189"/>
      <c r="K282" s="188">
        <f>K283</f>
        <v>0</v>
      </c>
      <c r="L282" s="172">
        <f>L283</f>
        <v>2087.5</v>
      </c>
      <c r="M282" s="172">
        <f>M283</f>
        <v>-566.9</v>
      </c>
      <c r="N282" s="172">
        <f>N283</f>
        <v>1520.6</v>
      </c>
      <c r="O282" s="178">
        <f t="shared" si="70"/>
        <v>1520.6</v>
      </c>
      <c r="P282" s="92">
        <f t="shared" si="71"/>
        <v>0</v>
      </c>
    </row>
    <row r="283" spans="1:16" ht="31.5" x14ac:dyDescent="0.2">
      <c r="A283" s="42"/>
      <c r="B283" s="168" t="s">
        <v>35</v>
      </c>
      <c r="C283" s="169" t="s">
        <v>295</v>
      </c>
      <c r="D283" s="170" t="s">
        <v>36</v>
      </c>
      <c r="E283" s="171"/>
      <c r="F283" s="172">
        <v>2087.5</v>
      </c>
      <c r="G283" s="172">
        <f>-567+0.1</f>
        <v>-566.9</v>
      </c>
      <c r="H283" s="172">
        <f>SUM(F283:G283)</f>
        <v>1520.6</v>
      </c>
      <c r="I283" s="188">
        <v>0</v>
      </c>
      <c r="J283" s="189"/>
      <c r="K283" s="188">
        <v>0</v>
      </c>
      <c r="L283" s="172">
        <f>SUM(F283)</f>
        <v>2087.5</v>
      </c>
      <c r="M283" s="172">
        <f>SUM(G283)</f>
        <v>-566.9</v>
      </c>
      <c r="N283" s="172">
        <f>SUM(H283)</f>
        <v>1520.6</v>
      </c>
      <c r="O283" s="178">
        <f t="shared" si="70"/>
        <v>1520.6</v>
      </c>
      <c r="P283" s="92">
        <f t="shared" si="71"/>
        <v>0</v>
      </c>
    </row>
    <row r="284" spans="1:16" ht="52.15" customHeight="1" x14ac:dyDescent="0.2">
      <c r="A284" s="42"/>
      <c r="B284" s="168" t="s">
        <v>296</v>
      </c>
      <c r="C284" s="169" t="s">
        <v>297</v>
      </c>
      <c r="D284" s="170" t="s">
        <v>26</v>
      </c>
      <c r="E284" s="171"/>
      <c r="F284" s="172">
        <f>F285</f>
        <v>5064.8</v>
      </c>
      <c r="G284" s="172">
        <f>G285</f>
        <v>476.29999999999995</v>
      </c>
      <c r="H284" s="172">
        <f>H285</f>
        <v>5541.1</v>
      </c>
      <c r="I284" s="188">
        <f>I285</f>
        <v>0</v>
      </c>
      <c r="J284" s="189"/>
      <c r="K284" s="188">
        <f>K285</f>
        <v>0</v>
      </c>
      <c r="L284" s="172">
        <f>L285</f>
        <v>5064.8</v>
      </c>
      <c r="M284" s="172">
        <f>M285</f>
        <v>476.29999999999995</v>
      </c>
      <c r="N284" s="273">
        <f>N285</f>
        <v>5541.1</v>
      </c>
      <c r="O284" s="178">
        <f t="shared" si="70"/>
        <v>5541.1</v>
      </c>
      <c r="P284" s="92">
        <f t="shared" si="71"/>
        <v>0</v>
      </c>
    </row>
    <row r="285" spans="1:16" ht="18.75" x14ac:dyDescent="0.2">
      <c r="A285" s="42"/>
      <c r="B285" s="168" t="s">
        <v>278</v>
      </c>
      <c r="C285" s="169" t="s">
        <v>297</v>
      </c>
      <c r="D285" s="170" t="s">
        <v>279</v>
      </c>
      <c r="E285" s="171"/>
      <c r="F285" s="172">
        <v>5064.8</v>
      </c>
      <c r="G285" s="172">
        <f>476.4-0.1</f>
        <v>476.29999999999995</v>
      </c>
      <c r="H285" s="172">
        <f>5064.8+G285</f>
        <v>5541.1</v>
      </c>
      <c r="I285" s="188">
        <v>0</v>
      </c>
      <c r="J285" s="189"/>
      <c r="K285" s="188">
        <v>0</v>
      </c>
      <c r="L285" s="172">
        <f>SUM(F285)</f>
        <v>5064.8</v>
      </c>
      <c r="M285" s="172">
        <f>SUM(G285)</f>
        <v>476.29999999999995</v>
      </c>
      <c r="N285" s="273">
        <f>SUM(H285)</f>
        <v>5541.1</v>
      </c>
      <c r="O285" s="178">
        <f t="shared" si="70"/>
        <v>5541.1</v>
      </c>
      <c r="P285" s="92">
        <f t="shared" si="71"/>
        <v>0</v>
      </c>
    </row>
    <row r="286" spans="1:16" ht="18.75" x14ac:dyDescent="0.2">
      <c r="A286" s="49"/>
      <c r="B286" s="190" t="s">
        <v>298</v>
      </c>
      <c r="C286" s="191" t="s">
        <v>299</v>
      </c>
      <c r="D286" s="192" t="s">
        <v>26</v>
      </c>
      <c r="E286" s="193"/>
      <c r="F286" s="194">
        <f t="shared" ref="F286:N288" si="73">F287</f>
        <v>20</v>
      </c>
      <c r="G286" s="194">
        <f t="shared" si="73"/>
        <v>0</v>
      </c>
      <c r="H286" s="194">
        <f t="shared" si="73"/>
        <v>20</v>
      </c>
      <c r="I286" s="195">
        <f t="shared" si="73"/>
        <v>0</v>
      </c>
      <c r="J286" s="194">
        <f>J287</f>
        <v>0</v>
      </c>
      <c r="K286" s="195">
        <f t="shared" si="73"/>
        <v>0</v>
      </c>
      <c r="L286" s="194">
        <f t="shared" si="73"/>
        <v>20</v>
      </c>
      <c r="M286" s="194">
        <f t="shared" si="73"/>
        <v>0</v>
      </c>
      <c r="N286" s="272">
        <f t="shared" si="73"/>
        <v>20</v>
      </c>
      <c r="O286" s="178">
        <f t="shared" si="70"/>
        <v>20</v>
      </c>
      <c r="P286" s="92">
        <f t="shared" si="71"/>
        <v>0</v>
      </c>
    </row>
    <row r="287" spans="1:16" ht="31.5" x14ac:dyDescent="0.2">
      <c r="A287" s="42"/>
      <c r="B287" s="168" t="s">
        <v>300</v>
      </c>
      <c r="C287" s="169" t="s">
        <v>301</v>
      </c>
      <c r="D287" s="170" t="s">
        <v>26</v>
      </c>
      <c r="E287" s="171"/>
      <c r="F287" s="172">
        <f t="shared" si="73"/>
        <v>20</v>
      </c>
      <c r="G287" s="172">
        <f t="shared" si="73"/>
        <v>0</v>
      </c>
      <c r="H287" s="172">
        <f t="shared" si="73"/>
        <v>20</v>
      </c>
      <c r="I287" s="188">
        <f t="shared" si="73"/>
        <v>0</v>
      </c>
      <c r="J287" s="189"/>
      <c r="K287" s="188">
        <f t="shared" si="73"/>
        <v>0</v>
      </c>
      <c r="L287" s="172">
        <f t="shared" si="73"/>
        <v>20</v>
      </c>
      <c r="M287" s="172">
        <f t="shared" si="73"/>
        <v>0</v>
      </c>
      <c r="N287" s="172">
        <f t="shared" si="73"/>
        <v>20</v>
      </c>
      <c r="O287" s="178">
        <f t="shared" si="70"/>
        <v>20</v>
      </c>
      <c r="P287" s="92">
        <f t="shared" si="71"/>
        <v>0</v>
      </c>
    </row>
    <row r="288" spans="1:16" ht="18.75" x14ac:dyDescent="0.2">
      <c r="A288" s="42"/>
      <c r="B288" s="168" t="s">
        <v>302</v>
      </c>
      <c r="C288" s="169" t="s">
        <v>303</v>
      </c>
      <c r="D288" s="170" t="s">
        <v>26</v>
      </c>
      <c r="E288" s="171"/>
      <c r="F288" s="172">
        <f t="shared" si="73"/>
        <v>20</v>
      </c>
      <c r="G288" s="172">
        <f t="shared" si="73"/>
        <v>0</v>
      </c>
      <c r="H288" s="172">
        <f t="shared" si="73"/>
        <v>20</v>
      </c>
      <c r="I288" s="188">
        <f t="shared" si="73"/>
        <v>0</v>
      </c>
      <c r="J288" s="189"/>
      <c r="K288" s="188">
        <f t="shared" si="73"/>
        <v>0</v>
      </c>
      <c r="L288" s="172">
        <f t="shared" si="73"/>
        <v>20</v>
      </c>
      <c r="M288" s="172">
        <f t="shared" si="73"/>
        <v>0</v>
      </c>
      <c r="N288" s="172">
        <f t="shared" si="73"/>
        <v>20</v>
      </c>
      <c r="O288" s="178">
        <f t="shared" si="70"/>
        <v>20</v>
      </c>
      <c r="P288" s="92">
        <f t="shared" si="71"/>
        <v>0</v>
      </c>
    </row>
    <row r="289" spans="1:16" ht="31.5" x14ac:dyDescent="0.2">
      <c r="A289" s="42"/>
      <c r="B289" s="168" t="s">
        <v>35</v>
      </c>
      <c r="C289" s="169" t="s">
        <v>303</v>
      </c>
      <c r="D289" s="170" t="s">
        <v>36</v>
      </c>
      <c r="E289" s="171"/>
      <c r="F289" s="172">
        <v>20</v>
      </c>
      <c r="G289" s="172"/>
      <c r="H289" s="172">
        <v>20</v>
      </c>
      <c r="I289" s="188">
        <v>0</v>
      </c>
      <c r="J289" s="189"/>
      <c r="K289" s="188">
        <v>0</v>
      </c>
      <c r="L289" s="172">
        <v>20</v>
      </c>
      <c r="M289" s="172"/>
      <c r="N289" s="172">
        <v>20</v>
      </c>
      <c r="O289" s="178">
        <f t="shared" si="70"/>
        <v>20</v>
      </c>
      <c r="P289" s="92">
        <f t="shared" si="71"/>
        <v>0</v>
      </c>
    </row>
    <row r="290" spans="1:16" ht="18.75" x14ac:dyDescent="0.2">
      <c r="A290" s="49"/>
      <c r="B290" s="190" t="s">
        <v>140</v>
      </c>
      <c r="C290" s="191" t="s">
        <v>304</v>
      </c>
      <c r="D290" s="192" t="s">
        <v>26</v>
      </c>
      <c r="E290" s="193"/>
      <c r="F290" s="194">
        <f t="shared" ref="F290:M290" si="74">F291+F294</f>
        <v>3461.5</v>
      </c>
      <c r="G290" s="194">
        <f t="shared" si="74"/>
        <v>407.7</v>
      </c>
      <c r="H290" s="194">
        <f t="shared" si="74"/>
        <v>3869.2</v>
      </c>
      <c r="I290" s="195">
        <f t="shared" si="74"/>
        <v>0</v>
      </c>
      <c r="J290" s="194">
        <f t="shared" si="74"/>
        <v>0</v>
      </c>
      <c r="K290" s="195">
        <f t="shared" si="74"/>
        <v>0</v>
      </c>
      <c r="L290" s="194">
        <f t="shared" si="74"/>
        <v>3461.5</v>
      </c>
      <c r="M290" s="194">
        <f t="shared" si="74"/>
        <v>407.7</v>
      </c>
      <c r="N290" s="272">
        <f>N291+N294</f>
        <v>3869.2</v>
      </c>
      <c r="O290" s="178">
        <f t="shared" si="70"/>
        <v>3869.2</v>
      </c>
      <c r="P290" s="92">
        <f t="shared" si="71"/>
        <v>0</v>
      </c>
    </row>
    <row r="291" spans="1:16" ht="30.6" customHeight="1" x14ac:dyDescent="0.2">
      <c r="A291" s="42"/>
      <c r="B291" s="168" t="s">
        <v>305</v>
      </c>
      <c r="C291" s="169" t="s">
        <v>306</v>
      </c>
      <c r="D291" s="170" t="s">
        <v>26</v>
      </c>
      <c r="E291" s="171"/>
      <c r="F291" s="172">
        <f t="shared" ref="F291:N292" si="75">F292</f>
        <v>3366.5</v>
      </c>
      <c r="G291" s="172">
        <f t="shared" si="75"/>
        <v>407.7</v>
      </c>
      <c r="H291" s="172">
        <f t="shared" si="75"/>
        <v>3774.2</v>
      </c>
      <c r="I291" s="188">
        <f t="shared" si="75"/>
        <v>0</v>
      </c>
      <c r="J291" s="189"/>
      <c r="K291" s="188">
        <f t="shared" si="75"/>
        <v>0</v>
      </c>
      <c r="L291" s="172">
        <f t="shared" si="75"/>
        <v>3366.5</v>
      </c>
      <c r="M291" s="172">
        <f t="shared" si="75"/>
        <v>407.7</v>
      </c>
      <c r="N291" s="172">
        <f t="shared" si="75"/>
        <v>3774.2</v>
      </c>
      <c r="O291" s="178">
        <f t="shared" si="70"/>
        <v>3774.2</v>
      </c>
      <c r="P291" s="92">
        <f t="shared" si="71"/>
        <v>0</v>
      </c>
    </row>
    <row r="292" spans="1:16" ht="63" x14ac:dyDescent="0.2">
      <c r="A292" s="42"/>
      <c r="B292" s="168" t="s">
        <v>307</v>
      </c>
      <c r="C292" s="169" t="s">
        <v>308</v>
      </c>
      <c r="D292" s="170" t="s">
        <v>26</v>
      </c>
      <c r="E292" s="171"/>
      <c r="F292" s="172">
        <f t="shared" si="75"/>
        <v>3366.5</v>
      </c>
      <c r="G292" s="172">
        <f t="shared" si="75"/>
        <v>407.7</v>
      </c>
      <c r="H292" s="172">
        <f t="shared" si="75"/>
        <v>3774.2</v>
      </c>
      <c r="I292" s="188">
        <f t="shared" si="75"/>
        <v>0</v>
      </c>
      <c r="J292" s="189"/>
      <c r="K292" s="188">
        <f t="shared" si="75"/>
        <v>0</v>
      </c>
      <c r="L292" s="172">
        <f t="shared" si="75"/>
        <v>3366.5</v>
      </c>
      <c r="M292" s="172">
        <f t="shared" si="75"/>
        <v>407.7</v>
      </c>
      <c r="N292" s="172">
        <f t="shared" si="75"/>
        <v>3774.2</v>
      </c>
      <c r="O292" s="178">
        <f t="shared" si="70"/>
        <v>3774.2</v>
      </c>
      <c r="P292" s="92">
        <f t="shared" si="71"/>
        <v>0</v>
      </c>
    </row>
    <row r="293" spans="1:16" ht="18.75" x14ac:dyDescent="0.2">
      <c r="A293" s="42"/>
      <c r="B293" s="168" t="s">
        <v>278</v>
      </c>
      <c r="C293" s="169" t="s">
        <v>308</v>
      </c>
      <c r="D293" s="170" t="s">
        <v>279</v>
      </c>
      <c r="E293" s="171"/>
      <c r="F293" s="172">
        <v>3366.5</v>
      </c>
      <c r="G293" s="172">
        <f>407.7</f>
        <v>407.7</v>
      </c>
      <c r="H293" s="172">
        <f>3366.5+G293</f>
        <v>3774.2</v>
      </c>
      <c r="I293" s="188">
        <v>0</v>
      </c>
      <c r="J293" s="189"/>
      <c r="K293" s="188">
        <v>0</v>
      </c>
      <c r="L293" s="172">
        <v>3366.5</v>
      </c>
      <c r="M293" s="172">
        <f>SUM(G293)</f>
        <v>407.7</v>
      </c>
      <c r="N293" s="172">
        <f>3366.5+M293</f>
        <v>3774.2</v>
      </c>
      <c r="O293" s="178">
        <f t="shared" si="70"/>
        <v>3774.2</v>
      </c>
      <c r="P293" s="92">
        <f t="shared" si="71"/>
        <v>0</v>
      </c>
    </row>
    <row r="294" spans="1:16" ht="47.25" x14ac:dyDescent="0.2">
      <c r="A294" s="42"/>
      <c r="B294" s="168" t="s">
        <v>309</v>
      </c>
      <c r="C294" s="169" t="s">
        <v>310</v>
      </c>
      <c r="D294" s="170" t="s">
        <v>26</v>
      </c>
      <c r="E294" s="171"/>
      <c r="F294" s="172">
        <f t="shared" ref="F294:N295" si="76">F295</f>
        <v>95</v>
      </c>
      <c r="G294" s="172">
        <f t="shared" si="76"/>
        <v>0</v>
      </c>
      <c r="H294" s="172">
        <f t="shared" si="76"/>
        <v>95</v>
      </c>
      <c r="I294" s="188">
        <f t="shared" si="76"/>
        <v>0</v>
      </c>
      <c r="J294" s="189"/>
      <c r="K294" s="188">
        <f t="shared" si="76"/>
        <v>0</v>
      </c>
      <c r="L294" s="172">
        <f t="shared" si="76"/>
        <v>95</v>
      </c>
      <c r="M294" s="172">
        <f t="shared" si="76"/>
        <v>0</v>
      </c>
      <c r="N294" s="172">
        <f t="shared" si="76"/>
        <v>95</v>
      </c>
      <c r="O294" s="178">
        <f t="shared" si="70"/>
        <v>95</v>
      </c>
      <c r="P294" s="92">
        <f t="shared" si="71"/>
        <v>0</v>
      </c>
    </row>
    <row r="295" spans="1:16" ht="18.75" x14ac:dyDescent="0.2">
      <c r="A295" s="42"/>
      <c r="B295" s="168" t="s">
        <v>311</v>
      </c>
      <c r="C295" s="169" t="s">
        <v>312</v>
      </c>
      <c r="D295" s="170" t="s">
        <v>26</v>
      </c>
      <c r="E295" s="171"/>
      <c r="F295" s="172">
        <f t="shared" si="76"/>
        <v>95</v>
      </c>
      <c r="G295" s="172">
        <f t="shared" si="76"/>
        <v>0</v>
      </c>
      <c r="H295" s="172">
        <f t="shared" si="76"/>
        <v>95</v>
      </c>
      <c r="I295" s="188">
        <f t="shared" si="76"/>
        <v>0</v>
      </c>
      <c r="J295" s="189"/>
      <c r="K295" s="188">
        <f t="shared" si="76"/>
        <v>0</v>
      </c>
      <c r="L295" s="172">
        <f t="shared" si="76"/>
        <v>95</v>
      </c>
      <c r="M295" s="172">
        <f t="shared" si="76"/>
        <v>0</v>
      </c>
      <c r="N295" s="172">
        <f t="shared" si="76"/>
        <v>95</v>
      </c>
      <c r="O295" s="178">
        <f t="shared" si="70"/>
        <v>95</v>
      </c>
      <c r="P295" s="92">
        <f t="shared" si="71"/>
        <v>0</v>
      </c>
    </row>
    <row r="296" spans="1:16" ht="30" customHeight="1" x14ac:dyDescent="0.2">
      <c r="A296" s="42"/>
      <c r="B296" s="168" t="s">
        <v>35</v>
      </c>
      <c r="C296" s="169" t="s">
        <v>312</v>
      </c>
      <c r="D296" s="170" t="s">
        <v>36</v>
      </c>
      <c r="E296" s="171"/>
      <c r="F296" s="172">
        <v>95</v>
      </c>
      <c r="G296" s="172"/>
      <c r="H296" s="172">
        <v>95</v>
      </c>
      <c r="I296" s="188">
        <v>0</v>
      </c>
      <c r="J296" s="189"/>
      <c r="K296" s="188">
        <v>0</v>
      </c>
      <c r="L296" s="172">
        <v>95</v>
      </c>
      <c r="M296" s="172"/>
      <c r="N296" s="172">
        <v>95</v>
      </c>
      <c r="O296" s="178">
        <f t="shared" si="70"/>
        <v>95</v>
      </c>
      <c r="P296" s="92">
        <f t="shared" si="71"/>
        <v>0</v>
      </c>
    </row>
    <row r="297" spans="1:16" ht="31.5" hidden="1" x14ac:dyDescent="0.2">
      <c r="A297" s="42"/>
      <c r="B297" s="168" t="s">
        <v>448</v>
      </c>
      <c r="C297" s="169" t="s">
        <v>422</v>
      </c>
      <c r="D297" s="170"/>
      <c r="E297" s="171"/>
      <c r="F297" s="172"/>
      <c r="G297" s="172"/>
      <c r="H297" s="172">
        <f>SUM(G297)</f>
        <v>0</v>
      </c>
      <c r="I297" s="188"/>
      <c r="J297" s="189"/>
      <c r="K297" s="188"/>
      <c r="L297" s="172"/>
      <c r="M297" s="172">
        <f>SUM(G297)</f>
        <v>0</v>
      </c>
      <c r="N297" s="172">
        <f>SUM(H297)</f>
        <v>0</v>
      </c>
      <c r="O297" s="178">
        <f t="shared" si="70"/>
        <v>0</v>
      </c>
      <c r="P297" s="92">
        <f t="shared" si="71"/>
        <v>0</v>
      </c>
    </row>
    <row r="298" spans="1:16" ht="18.75" hidden="1" x14ac:dyDescent="0.2">
      <c r="A298" s="42"/>
      <c r="B298" s="168" t="s">
        <v>432</v>
      </c>
      <c r="C298" s="169" t="s">
        <v>433</v>
      </c>
      <c r="D298" s="170"/>
      <c r="E298" s="171"/>
      <c r="F298" s="172"/>
      <c r="G298" s="172"/>
      <c r="H298" s="172">
        <f>SUM(G298)</f>
        <v>0</v>
      </c>
      <c r="I298" s="188"/>
      <c r="J298" s="189"/>
      <c r="K298" s="188"/>
      <c r="L298" s="172"/>
      <c r="M298" s="172">
        <f>SUM(G298)</f>
        <v>0</v>
      </c>
      <c r="N298" s="172" t="s">
        <v>447</v>
      </c>
      <c r="O298" s="178">
        <f t="shared" si="70"/>
        <v>0</v>
      </c>
      <c r="P298" s="92" t="e">
        <f t="shared" si="71"/>
        <v>#VALUE!</v>
      </c>
    </row>
    <row r="299" spans="1:16" ht="31.5" hidden="1" x14ac:dyDescent="0.2">
      <c r="A299" s="42"/>
      <c r="B299" s="168" t="s">
        <v>434</v>
      </c>
      <c r="C299" s="169" t="s">
        <v>435</v>
      </c>
      <c r="D299" s="170"/>
      <c r="E299" s="171"/>
      <c r="F299" s="172"/>
      <c r="G299" s="172"/>
      <c r="H299" s="172">
        <f>SUM(G299)</f>
        <v>0</v>
      </c>
      <c r="I299" s="188"/>
      <c r="J299" s="189"/>
      <c r="K299" s="188"/>
      <c r="L299" s="172"/>
      <c r="M299" s="172">
        <f>SUM(G300)</f>
        <v>0</v>
      </c>
      <c r="N299" s="172">
        <f>SUM(H300)</f>
        <v>0</v>
      </c>
      <c r="O299" s="178">
        <f t="shared" si="70"/>
        <v>0</v>
      </c>
      <c r="P299" s="92">
        <f t="shared" si="71"/>
        <v>0</v>
      </c>
    </row>
    <row r="300" spans="1:16" ht="31.5" hidden="1" x14ac:dyDescent="0.2">
      <c r="A300" s="42"/>
      <c r="B300" s="168" t="s">
        <v>35</v>
      </c>
      <c r="C300" s="169" t="s">
        <v>435</v>
      </c>
      <c r="D300" s="170" t="s">
        <v>36</v>
      </c>
      <c r="E300" s="171"/>
      <c r="F300" s="172"/>
      <c r="G300" s="172"/>
      <c r="H300" s="172">
        <f>SUM(G300)</f>
        <v>0</v>
      </c>
      <c r="I300" s="188"/>
      <c r="J300" s="189"/>
      <c r="K300" s="188"/>
      <c r="L300" s="172"/>
      <c r="M300" s="172">
        <f>SUM(G300)</f>
        <v>0</v>
      </c>
      <c r="N300" s="172">
        <f>SUM(H300)</f>
        <v>0</v>
      </c>
      <c r="O300" s="178">
        <f t="shared" si="70"/>
        <v>0</v>
      </c>
      <c r="P300" s="92">
        <f t="shared" si="71"/>
        <v>0</v>
      </c>
    </row>
    <row r="301" spans="1:16" ht="47.25" x14ac:dyDescent="0.2">
      <c r="A301" s="19" t="s">
        <v>313</v>
      </c>
      <c r="B301" s="182" t="s">
        <v>314</v>
      </c>
      <c r="C301" s="183" t="s">
        <v>315</v>
      </c>
      <c r="D301" s="184" t="s">
        <v>26</v>
      </c>
      <c r="E301" s="185"/>
      <c r="F301" s="186">
        <f t="shared" ref="F301:N301" si="77">F302+F312+F317</f>
        <v>6288.4</v>
      </c>
      <c r="G301" s="186">
        <f t="shared" si="77"/>
        <v>1600</v>
      </c>
      <c r="H301" s="186">
        <f t="shared" si="77"/>
        <v>7888.4</v>
      </c>
      <c r="I301" s="187">
        <f t="shared" si="77"/>
        <v>700</v>
      </c>
      <c r="J301" s="186">
        <f t="shared" si="77"/>
        <v>0</v>
      </c>
      <c r="K301" s="187">
        <f t="shared" si="77"/>
        <v>700</v>
      </c>
      <c r="L301" s="186">
        <f t="shared" si="77"/>
        <v>6988.4</v>
      </c>
      <c r="M301" s="186">
        <f t="shared" si="77"/>
        <v>1600</v>
      </c>
      <c r="N301" s="186">
        <f t="shared" si="77"/>
        <v>8588.4</v>
      </c>
      <c r="O301" s="178">
        <f t="shared" si="70"/>
        <v>8588.4</v>
      </c>
      <c r="P301" s="92">
        <f t="shared" si="71"/>
        <v>0</v>
      </c>
    </row>
    <row r="302" spans="1:16" ht="31.5" x14ac:dyDescent="0.2">
      <c r="A302" s="49"/>
      <c r="B302" s="190" t="s">
        <v>316</v>
      </c>
      <c r="C302" s="191" t="s">
        <v>317</v>
      </c>
      <c r="D302" s="192" t="s">
        <v>26</v>
      </c>
      <c r="E302" s="193"/>
      <c r="F302" s="194">
        <f t="shared" ref="F302:N302" si="78">F303</f>
        <v>2628.4</v>
      </c>
      <c r="G302" s="194">
        <f t="shared" si="78"/>
        <v>0</v>
      </c>
      <c r="H302" s="194">
        <f t="shared" si="78"/>
        <v>2628.4</v>
      </c>
      <c r="I302" s="195">
        <f t="shared" si="78"/>
        <v>600</v>
      </c>
      <c r="J302" s="194">
        <f t="shared" si="78"/>
        <v>0</v>
      </c>
      <c r="K302" s="195">
        <f t="shared" si="78"/>
        <v>600</v>
      </c>
      <c r="L302" s="194">
        <f t="shared" si="78"/>
        <v>3228.4</v>
      </c>
      <c r="M302" s="194">
        <f t="shared" si="78"/>
        <v>0</v>
      </c>
      <c r="N302" s="194">
        <f t="shared" si="78"/>
        <v>3228.4</v>
      </c>
      <c r="O302" s="178">
        <f t="shared" si="70"/>
        <v>3228.4</v>
      </c>
      <c r="P302" s="92">
        <f t="shared" si="71"/>
        <v>0</v>
      </c>
    </row>
    <row r="303" spans="1:16" ht="31.5" x14ac:dyDescent="0.2">
      <c r="A303" s="42"/>
      <c r="B303" s="168" t="s">
        <v>318</v>
      </c>
      <c r="C303" s="169" t="s">
        <v>319</v>
      </c>
      <c r="D303" s="170" t="s">
        <v>26</v>
      </c>
      <c r="E303" s="171"/>
      <c r="F303" s="172">
        <f>F304+F307</f>
        <v>2628.4</v>
      </c>
      <c r="G303" s="172">
        <f>G304+G307</f>
        <v>0</v>
      </c>
      <c r="H303" s="172">
        <f>H304+H307</f>
        <v>2628.4</v>
      </c>
      <c r="I303" s="188">
        <f>I304+I307+I310</f>
        <v>600</v>
      </c>
      <c r="J303" s="189">
        <f>SUM(J310)</f>
        <v>0</v>
      </c>
      <c r="K303" s="189">
        <f>SUM(K310)</f>
        <v>600</v>
      </c>
      <c r="L303" s="172">
        <f>L304+L307+I303</f>
        <v>3228.4</v>
      </c>
      <c r="M303" s="189">
        <f>SUM(M310)+M304+M307</f>
        <v>0</v>
      </c>
      <c r="N303" s="172">
        <f>N304+N307+K303</f>
        <v>3228.4</v>
      </c>
      <c r="O303" s="178">
        <f t="shared" si="70"/>
        <v>3228.4</v>
      </c>
      <c r="P303" s="92">
        <f t="shared" si="71"/>
        <v>0</v>
      </c>
    </row>
    <row r="304" spans="1:16" ht="31.5" x14ac:dyDescent="0.2">
      <c r="A304" s="42"/>
      <c r="B304" s="168" t="s">
        <v>316</v>
      </c>
      <c r="C304" s="169" t="s">
        <v>320</v>
      </c>
      <c r="D304" s="170" t="s">
        <v>26</v>
      </c>
      <c r="E304" s="171"/>
      <c r="F304" s="172">
        <f>F306+F305</f>
        <v>2318.4</v>
      </c>
      <c r="G304" s="172">
        <f>G306</f>
        <v>0</v>
      </c>
      <c r="H304" s="172">
        <f>H306+H305</f>
        <v>2318.4</v>
      </c>
      <c r="I304" s="188">
        <f>I306</f>
        <v>0</v>
      </c>
      <c r="J304" s="189"/>
      <c r="K304" s="188">
        <f>K306</f>
        <v>0</v>
      </c>
      <c r="L304" s="172">
        <f>L306+L305</f>
        <v>2318.4</v>
      </c>
      <c r="M304" s="172">
        <f>M306</f>
        <v>0</v>
      </c>
      <c r="N304" s="172">
        <f>N306+N305</f>
        <v>2318.4</v>
      </c>
      <c r="O304" s="178">
        <f t="shared" si="70"/>
        <v>2318.4</v>
      </c>
      <c r="P304" s="92">
        <f t="shared" si="71"/>
        <v>0</v>
      </c>
    </row>
    <row r="305" spans="1:16" ht="31.5" x14ac:dyDescent="0.2">
      <c r="A305" s="42"/>
      <c r="B305" s="168" t="s">
        <v>35</v>
      </c>
      <c r="C305" s="169" t="s">
        <v>320</v>
      </c>
      <c r="D305" s="170" t="s">
        <v>36</v>
      </c>
      <c r="E305" s="171"/>
      <c r="F305" s="172">
        <v>232.4</v>
      </c>
      <c r="G305" s="172"/>
      <c r="H305" s="172">
        <f>SUM(F305)</f>
        <v>232.4</v>
      </c>
      <c r="I305" s="188"/>
      <c r="J305" s="189"/>
      <c r="K305" s="188"/>
      <c r="L305" s="172">
        <f>SUM(F305)</f>
        <v>232.4</v>
      </c>
      <c r="M305" s="172"/>
      <c r="N305" s="172">
        <f>SUM(H305)</f>
        <v>232.4</v>
      </c>
      <c r="O305" s="178">
        <f t="shared" si="70"/>
        <v>232.4</v>
      </c>
      <c r="P305" s="92">
        <f t="shared" si="71"/>
        <v>0</v>
      </c>
    </row>
    <row r="306" spans="1:16" ht="18.75" x14ac:dyDescent="0.2">
      <c r="A306" s="42"/>
      <c r="B306" s="168" t="s">
        <v>54</v>
      </c>
      <c r="C306" s="169" t="s">
        <v>320</v>
      </c>
      <c r="D306" s="170" t="s">
        <v>55</v>
      </c>
      <c r="E306" s="171"/>
      <c r="F306" s="172">
        <v>2086</v>
      </c>
      <c r="G306" s="172"/>
      <c r="H306" s="172">
        <f>SUM(F306:G306)</f>
        <v>2086</v>
      </c>
      <c r="I306" s="188">
        <v>0</v>
      </c>
      <c r="J306" s="189"/>
      <c r="K306" s="188">
        <v>0</v>
      </c>
      <c r="L306" s="172">
        <f>SUM(F306)</f>
        <v>2086</v>
      </c>
      <c r="M306" s="172">
        <f>G306+J306</f>
        <v>0</v>
      </c>
      <c r="N306" s="172">
        <f>SUM(L306:M306)</f>
        <v>2086</v>
      </c>
      <c r="O306" s="178">
        <f t="shared" si="70"/>
        <v>2086</v>
      </c>
      <c r="P306" s="92">
        <f t="shared" si="71"/>
        <v>0</v>
      </c>
    </row>
    <row r="307" spans="1:16" ht="31.5" x14ac:dyDescent="0.2">
      <c r="A307" s="42"/>
      <c r="B307" s="168" t="s">
        <v>321</v>
      </c>
      <c r="C307" s="169" t="s">
        <v>322</v>
      </c>
      <c r="D307" s="170" t="s">
        <v>26</v>
      </c>
      <c r="E307" s="171"/>
      <c r="F307" s="172">
        <f>F308+F309</f>
        <v>310</v>
      </c>
      <c r="G307" s="172">
        <f>G308+G309</f>
        <v>0</v>
      </c>
      <c r="H307" s="172">
        <f>H308+H309</f>
        <v>310</v>
      </c>
      <c r="I307" s="188">
        <f>I308+I309</f>
        <v>0</v>
      </c>
      <c r="J307" s="189"/>
      <c r="K307" s="188">
        <f>K308+K309</f>
        <v>0</v>
      </c>
      <c r="L307" s="172">
        <f>L308+L309</f>
        <v>310</v>
      </c>
      <c r="M307" s="172">
        <f>M308+M309</f>
        <v>0</v>
      </c>
      <c r="N307" s="172">
        <f>N308+N309</f>
        <v>310</v>
      </c>
      <c r="O307" s="178">
        <f t="shared" si="70"/>
        <v>310</v>
      </c>
      <c r="P307" s="92">
        <f t="shared" si="71"/>
        <v>0</v>
      </c>
    </row>
    <row r="308" spans="1:16" ht="31.5" x14ac:dyDescent="0.2">
      <c r="A308" s="42"/>
      <c r="B308" s="168" t="s">
        <v>35</v>
      </c>
      <c r="C308" s="169" t="s">
        <v>322</v>
      </c>
      <c r="D308" s="170" t="s">
        <v>36</v>
      </c>
      <c r="E308" s="171"/>
      <c r="F308" s="172">
        <v>300</v>
      </c>
      <c r="G308" s="172"/>
      <c r="H308" s="172">
        <v>300</v>
      </c>
      <c r="I308" s="188">
        <v>0</v>
      </c>
      <c r="J308" s="189"/>
      <c r="K308" s="188">
        <v>0</v>
      </c>
      <c r="L308" s="172">
        <v>300</v>
      </c>
      <c r="M308" s="172"/>
      <c r="N308" s="172">
        <v>300</v>
      </c>
      <c r="O308" s="178">
        <f t="shared" si="70"/>
        <v>300</v>
      </c>
      <c r="P308" s="92">
        <f t="shared" si="71"/>
        <v>0</v>
      </c>
    </row>
    <row r="309" spans="1:16" ht="18.75" x14ac:dyDescent="0.2">
      <c r="A309" s="42"/>
      <c r="B309" s="168" t="s">
        <v>54</v>
      </c>
      <c r="C309" s="169" t="s">
        <v>322</v>
      </c>
      <c r="D309" s="170" t="s">
        <v>55</v>
      </c>
      <c r="E309" s="171"/>
      <c r="F309" s="172">
        <v>10</v>
      </c>
      <c r="G309" s="172"/>
      <c r="H309" s="172">
        <v>10</v>
      </c>
      <c r="I309" s="188">
        <v>0</v>
      </c>
      <c r="J309" s="189"/>
      <c r="K309" s="188">
        <v>0</v>
      </c>
      <c r="L309" s="172">
        <v>10</v>
      </c>
      <c r="M309" s="172"/>
      <c r="N309" s="172">
        <v>10</v>
      </c>
      <c r="O309" s="178">
        <f t="shared" si="70"/>
        <v>10</v>
      </c>
      <c r="P309" s="92">
        <f t="shared" si="71"/>
        <v>0</v>
      </c>
    </row>
    <row r="310" spans="1:16" ht="31.5" x14ac:dyDescent="0.2">
      <c r="A310" s="42"/>
      <c r="B310" s="168" t="s">
        <v>468</v>
      </c>
      <c r="C310" s="169" t="s">
        <v>466</v>
      </c>
      <c r="D310" s="170"/>
      <c r="E310" s="171"/>
      <c r="F310" s="172"/>
      <c r="G310" s="172"/>
      <c r="H310" s="172"/>
      <c r="I310" s="188">
        <v>600</v>
      </c>
      <c r="J310" s="189">
        <f>SUM(J311)</f>
        <v>0</v>
      </c>
      <c r="K310" s="189">
        <f>SUM(K311)</f>
        <v>600</v>
      </c>
      <c r="L310" s="172">
        <f t="shared" ref="L310:N311" si="79">SUM(I310)</f>
        <v>600</v>
      </c>
      <c r="M310" s="172">
        <f t="shared" si="79"/>
        <v>0</v>
      </c>
      <c r="N310" s="172">
        <f t="shared" si="79"/>
        <v>600</v>
      </c>
      <c r="O310" s="178">
        <f t="shared" si="70"/>
        <v>600</v>
      </c>
      <c r="P310" s="92">
        <f t="shared" si="71"/>
        <v>0</v>
      </c>
    </row>
    <row r="311" spans="1:16" ht="31.5" x14ac:dyDescent="0.2">
      <c r="A311" s="42"/>
      <c r="B311" s="168" t="s">
        <v>35</v>
      </c>
      <c r="C311" s="169" t="s">
        <v>466</v>
      </c>
      <c r="D311" s="170" t="s">
        <v>36</v>
      </c>
      <c r="E311" s="171"/>
      <c r="F311" s="172"/>
      <c r="G311" s="172"/>
      <c r="H311" s="172"/>
      <c r="I311" s="188">
        <v>600</v>
      </c>
      <c r="J311" s="189"/>
      <c r="K311" s="188">
        <f>SUM(I311)</f>
        <v>600</v>
      </c>
      <c r="L311" s="172">
        <f t="shared" si="79"/>
        <v>600</v>
      </c>
      <c r="M311" s="172">
        <f t="shared" si="79"/>
        <v>0</v>
      </c>
      <c r="N311" s="172">
        <f t="shared" si="79"/>
        <v>600</v>
      </c>
      <c r="O311" s="178">
        <f t="shared" si="70"/>
        <v>600</v>
      </c>
      <c r="P311" s="92">
        <f t="shared" si="71"/>
        <v>0</v>
      </c>
    </row>
    <row r="312" spans="1:16" ht="31.5" x14ac:dyDescent="0.2">
      <c r="A312" s="49"/>
      <c r="B312" s="190" t="s">
        <v>323</v>
      </c>
      <c r="C312" s="191" t="s">
        <v>324</v>
      </c>
      <c r="D312" s="192" t="s">
        <v>26</v>
      </c>
      <c r="E312" s="193"/>
      <c r="F312" s="194">
        <f t="shared" ref="F312:N314" si="80">F313</f>
        <v>150</v>
      </c>
      <c r="G312" s="194">
        <f t="shared" si="80"/>
        <v>0</v>
      </c>
      <c r="H312" s="194">
        <f t="shared" si="80"/>
        <v>150</v>
      </c>
      <c r="I312" s="195">
        <f t="shared" si="80"/>
        <v>0</v>
      </c>
      <c r="J312" s="194">
        <f>J313</f>
        <v>0</v>
      </c>
      <c r="K312" s="195">
        <f t="shared" si="80"/>
        <v>0</v>
      </c>
      <c r="L312" s="194">
        <f t="shared" si="80"/>
        <v>150</v>
      </c>
      <c r="M312" s="194">
        <f t="shared" si="80"/>
        <v>0</v>
      </c>
      <c r="N312" s="194">
        <f t="shared" si="80"/>
        <v>150</v>
      </c>
      <c r="O312" s="178">
        <f t="shared" si="70"/>
        <v>150</v>
      </c>
      <c r="P312" s="92">
        <f t="shared" si="71"/>
        <v>0</v>
      </c>
    </row>
    <row r="313" spans="1:16" ht="47.25" x14ac:dyDescent="0.2">
      <c r="A313" s="42"/>
      <c r="B313" s="168" t="s">
        <v>325</v>
      </c>
      <c r="C313" s="169" t="s">
        <v>326</v>
      </c>
      <c r="D313" s="170" t="s">
        <v>26</v>
      </c>
      <c r="E313" s="171"/>
      <c r="F313" s="172">
        <f t="shared" si="80"/>
        <v>150</v>
      </c>
      <c r="G313" s="172">
        <f t="shared" si="80"/>
        <v>0</v>
      </c>
      <c r="H313" s="172">
        <f t="shared" si="80"/>
        <v>150</v>
      </c>
      <c r="I313" s="188">
        <f t="shared" si="80"/>
        <v>0</v>
      </c>
      <c r="J313" s="189"/>
      <c r="K313" s="188">
        <f t="shared" si="80"/>
        <v>0</v>
      </c>
      <c r="L313" s="172">
        <f t="shared" si="80"/>
        <v>150</v>
      </c>
      <c r="M313" s="172">
        <f t="shared" si="80"/>
        <v>0</v>
      </c>
      <c r="N313" s="172">
        <f t="shared" si="80"/>
        <v>150</v>
      </c>
      <c r="O313" s="178">
        <f t="shared" si="70"/>
        <v>150</v>
      </c>
      <c r="P313" s="92">
        <f t="shared" si="71"/>
        <v>0</v>
      </c>
    </row>
    <row r="314" spans="1:16" ht="33" customHeight="1" x14ac:dyDescent="0.2">
      <c r="A314" s="42"/>
      <c r="B314" s="168" t="s">
        <v>327</v>
      </c>
      <c r="C314" s="169" t="s">
        <v>328</v>
      </c>
      <c r="D314" s="170" t="s">
        <v>26</v>
      </c>
      <c r="E314" s="171"/>
      <c r="F314" s="172">
        <f t="shared" si="80"/>
        <v>150</v>
      </c>
      <c r="G314" s="172">
        <f t="shared" si="80"/>
        <v>0</v>
      </c>
      <c r="H314" s="172">
        <f t="shared" si="80"/>
        <v>150</v>
      </c>
      <c r="I314" s="188">
        <f t="shared" si="80"/>
        <v>0</v>
      </c>
      <c r="J314" s="189"/>
      <c r="K314" s="188">
        <f t="shared" si="80"/>
        <v>0</v>
      </c>
      <c r="L314" s="172">
        <f t="shared" si="80"/>
        <v>150</v>
      </c>
      <c r="M314" s="172">
        <f t="shared" si="80"/>
        <v>0</v>
      </c>
      <c r="N314" s="172">
        <f t="shared" si="80"/>
        <v>150</v>
      </c>
      <c r="O314" s="178">
        <f t="shared" si="70"/>
        <v>150</v>
      </c>
      <c r="P314" s="92">
        <f t="shared" si="71"/>
        <v>0</v>
      </c>
    </row>
    <row r="315" spans="1:16" ht="31.5" x14ac:dyDescent="0.2">
      <c r="A315" s="42"/>
      <c r="B315" s="168" t="s">
        <v>35</v>
      </c>
      <c r="C315" s="169" t="s">
        <v>328</v>
      </c>
      <c r="D315" s="170" t="s">
        <v>36</v>
      </c>
      <c r="E315" s="171"/>
      <c r="F315" s="172">
        <v>150</v>
      </c>
      <c r="G315" s="172"/>
      <c r="H315" s="172">
        <v>150</v>
      </c>
      <c r="I315" s="188">
        <v>0</v>
      </c>
      <c r="J315" s="189"/>
      <c r="K315" s="188">
        <v>0</v>
      </c>
      <c r="L315" s="172">
        <v>150</v>
      </c>
      <c r="M315" s="172"/>
      <c r="N315" s="172">
        <v>150</v>
      </c>
      <c r="O315" s="178">
        <f t="shared" si="70"/>
        <v>150</v>
      </c>
      <c r="P315" s="92">
        <f t="shared" si="71"/>
        <v>0</v>
      </c>
    </row>
    <row r="316" spans="1:16" ht="18.75" hidden="1" x14ac:dyDescent="0.2">
      <c r="A316" s="42"/>
      <c r="B316" s="168"/>
      <c r="C316" s="169"/>
      <c r="D316" s="170"/>
      <c r="E316" s="171"/>
      <c r="F316" s="172"/>
      <c r="G316" s="172"/>
      <c r="H316" s="172"/>
      <c r="I316" s="188"/>
      <c r="J316" s="189"/>
      <c r="K316" s="189"/>
      <c r="L316" s="172"/>
      <c r="M316" s="172"/>
      <c r="N316" s="172"/>
      <c r="O316" s="178">
        <f t="shared" si="70"/>
        <v>0</v>
      </c>
      <c r="P316" s="92">
        <f t="shared" si="71"/>
        <v>0</v>
      </c>
    </row>
    <row r="317" spans="1:16" ht="31.5" x14ac:dyDescent="0.2">
      <c r="A317" s="49"/>
      <c r="B317" s="190" t="s">
        <v>329</v>
      </c>
      <c r="C317" s="191" t="s">
        <v>330</v>
      </c>
      <c r="D317" s="192" t="s">
        <v>26</v>
      </c>
      <c r="E317" s="193"/>
      <c r="F317" s="194">
        <f t="shared" ref="F317:N318" si="81">F318</f>
        <v>3510</v>
      </c>
      <c r="G317" s="194">
        <f t="shared" si="81"/>
        <v>1600</v>
      </c>
      <c r="H317" s="194">
        <f t="shared" si="81"/>
        <v>5110</v>
      </c>
      <c r="I317" s="195">
        <f>I318+I322</f>
        <v>100</v>
      </c>
      <c r="J317" s="194">
        <f>SUM(J322)</f>
        <v>0</v>
      </c>
      <c r="K317" s="194">
        <f>SUM(K322)</f>
        <v>100</v>
      </c>
      <c r="L317" s="194">
        <f>L318+I317</f>
        <v>3610</v>
      </c>
      <c r="M317" s="194">
        <f>M318+M322</f>
        <v>1600</v>
      </c>
      <c r="N317" s="194">
        <f>N318+K317</f>
        <v>5210</v>
      </c>
      <c r="O317" s="178">
        <f t="shared" si="70"/>
        <v>5210</v>
      </c>
      <c r="P317" s="92">
        <f t="shared" si="71"/>
        <v>0</v>
      </c>
    </row>
    <row r="318" spans="1:16" ht="96" customHeight="1" x14ac:dyDescent="0.2">
      <c r="A318" s="42"/>
      <c r="B318" s="214" t="s">
        <v>331</v>
      </c>
      <c r="C318" s="169" t="s">
        <v>332</v>
      </c>
      <c r="D318" s="170" t="s">
        <v>26</v>
      </c>
      <c r="E318" s="171"/>
      <c r="F318" s="172">
        <f t="shared" si="81"/>
        <v>3510</v>
      </c>
      <c r="G318" s="172">
        <f t="shared" si="81"/>
        <v>1600</v>
      </c>
      <c r="H318" s="172">
        <f t="shared" si="81"/>
        <v>5110</v>
      </c>
      <c r="I318" s="188">
        <f t="shared" si="81"/>
        <v>0</v>
      </c>
      <c r="J318" s="189"/>
      <c r="K318" s="188">
        <f t="shared" si="81"/>
        <v>0</v>
      </c>
      <c r="L318" s="172">
        <f t="shared" si="81"/>
        <v>3510</v>
      </c>
      <c r="M318" s="172">
        <f t="shared" si="81"/>
        <v>1600</v>
      </c>
      <c r="N318" s="172">
        <f t="shared" si="81"/>
        <v>5110</v>
      </c>
      <c r="O318" s="178">
        <f t="shared" si="70"/>
        <v>5110</v>
      </c>
      <c r="P318" s="92">
        <f t="shared" si="71"/>
        <v>0</v>
      </c>
    </row>
    <row r="319" spans="1:16" ht="31.5" x14ac:dyDescent="0.2">
      <c r="A319" s="42"/>
      <c r="B319" s="168" t="s">
        <v>333</v>
      </c>
      <c r="C319" s="169" t="s">
        <v>334</v>
      </c>
      <c r="D319" s="170" t="s">
        <v>26</v>
      </c>
      <c r="E319" s="171"/>
      <c r="F319" s="172">
        <f>F320+F321</f>
        <v>3510</v>
      </c>
      <c r="G319" s="172">
        <f>G320+G321</f>
        <v>1600</v>
      </c>
      <c r="H319" s="172">
        <f>H320+H321</f>
        <v>5110</v>
      </c>
      <c r="I319" s="188">
        <f>I320+I321</f>
        <v>0</v>
      </c>
      <c r="J319" s="189"/>
      <c r="K319" s="188">
        <f>K320+K321</f>
        <v>0</v>
      </c>
      <c r="L319" s="172">
        <f>L320+L321</f>
        <v>3510</v>
      </c>
      <c r="M319" s="172">
        <f>M320+M321</f>
        <v>1600</v>
      </c>
      <c r="N319" s="172">
        <f>SUM(H319)</f>
        <v>5110</v>
      </c>
      <c r="O319" s="178">
        <f t="shared" si="70"/>
        <v>5110</v>
      </c>
      <c r="P319" s="92">
        <f t="shared" si="71"/>
        <v>0</v>
      </c>
    </row>
    <row r="320" spans="1:16" ht="31.5" x14ac:dyDescent="0.2">
      <c r="A320" s="42"/>
      <c r="B320" s="168" t="s">
        <v>35</v>
      </c>
      <c r="C320" s="169" t="s">
        <v>334</v>
      </c>
      <c r="D320" s="170" t="s">
        <v>36</v>
      </c>
      <c r="E320" s="171"/>
      <c r="F320" s="172">
        <v>3446.8</v>
      </c>
      <c r="G320" s="172">
        <v>1600</v>
      </c>
      <c r="H320" s="172">
        <f>SUM(F320:G320)</f>
        <v>5046.8</v>
      </c>
      <c r="I320" s="188">
        <v>0</v>
      </c>
      <c r="J320" s="189"/>
      <c r="K320" s="188">
        <v>0</v>
      </c>
      <c r="L320" s="172">
        <f>SUM(F320)</f>
        <v>3446.8</v>
      </c>
      <c r="M320" s="172">
        <f>SUM(G320)</f>
        <v>1600</v>
      </c>
      <c r="N320" s="172">
        <f>SUM(L320:M320)</f>
        <v>5046.8</v>
      </c>
      <c r="O320" s="178">
        <f t="shared" si="70"/>
        <v>5046.8</v>
      </c>
      <c r="P320" s="92">
        <f t="shared" si="71"/>
        <v>0</v>
      </c>
    </row>
    <row r="321" spans="1:16" ht="18.75" x14ac:dyDescent="0.2">
      <c r="A321" s="42"/>
      <c r="B321" s="168" t="s">
        <v>41</v>
      </c>
      <c r="C321" s="169" t="s">
        <v>334</v>
      </c>
      <c r="D321" s="170" t="s">
        <v>42</v>
      </c>
      <c r="E321" s="171"/>
      <c r="F321" s="172">
        <v>63.2</v>
      </c>
      <c r="G321" s="172"/>
      <c r="H321" s="172">
        <v>63.2</v>
      </c>
      <c r="I321" s="188">
        <v>0</v>
      </c>
      <c r="J321" s="189"/>
      <c r="K321" s="188">
        <v>0</v>
      </c>
      <c r="L321" s="172">
        <v>63.2</v>
      </c>
      <c r="M321" s="172"/>
      <c r="N321" s="172">
        <v>63.2</v>
      </c>
      <c r="O321" s="178">
        <f t="shared" si="70"/>
        <v>63.2</v>
      </c>
      <c r="P321" s="92">
        <f t="shared" si="71"/>
        <v>0</v>
      </c>
    </row>
    <row r="322" spans="1:16" ht="47.25" x14ac:dyDescent="0.2">
      <c r="A322" s="42"/>
      <c r="B322" s="168" t="s">
        <v>465</v>
      </c>
      <c r="C322" s="169" t="s">
        <v>463</v>
      </c>
      <c r="D322" s="170"/>
      <c r="E322" s="171"/>
      <c r="F322" s="172"/>
      <c r="G322" s="172"/>
      <c r="H322" s="172"/>
      <c r="I322" s="188">
        <f>SUM(I323)</f>
        <v>100</v>
      </c>
      <c r="J322" s="189">
        <f>SUM(J323)</f>
        <v>0</v>
      </c>
      <c r="K322" s="189">
        <f>SUM(K323)</f>
        <v>100</v>
      </c>
      <c r="L322" s="172">
        <f t="shared" ref="L322:N323" si="82">SUM(I322)</f>
        <v>100</v>
      </c>
      <c r="M322" s="172">
        <f t="shared" si="82"/>
        <v>0</v>
      </c>
      <c r="N322" s="172">
        <f t="shared" si="82"/>
        <v>100</v>
      </c>
      <c r="O322" s="178">
        <f t="shared" si="70"/>
        <v>100</v>
      </c>
      <c r="P322" s="92">
        <f t="shared" si="71"/>
        <v>0</v>
      </c>
    </row>
    <row r="323" spans="1:16" ht="31.5" x14ac:dyDescent="0.2">
      <c r="A323" s="42"/>
      <c r="B323" s="168" t="s">
        <v>35</v>
      </c>
      <c r="C323" s="169" t="s">
        <v>464</v>
      </c>
      <c r="D323" s="170" t="s">
        <v>36</v>
      </c>
      <c r="E323" s="171"/>
      <c r="F323" s="172"/>
      <c r="G323" s="172"/>
      <c r="H323" s="172"/>
      <c r="I323" s="188">
        <v>100</v>
      </c>
      <c r="J323" s="189"/>
      <c r="K323" s="188">
        <v>100</v>
      </c>
      <c r="L323" s="172">
        <f t="shared" si="82"/>
        <v>100</v>
      </c>
      <c r="M323" s="172">
        <f t="shared" si="82"/>
        <v>0</v>
      </c>
      <c r="N323" s="172">
        <f t="shared" si="82"/>
        <v>100</v>
      </c>
      <c r="O323" s="178">
        <f t="shared" si="70"/>
        <v>100</v>
      </c>
      <c r="P323" s="92">
        <f t="shared" si="71"/>
        <v>0</v>
      </c>
    </row>
    <row r="324" spans="1:16" ht="31.5" x14ac:dyDescent="0.2">
      <c r="A324" s="19" t="s">
        <v>335</v>
      </c>
      <c r="B324" s="182" t="s">
        <v>336</v>
      </c>
      <c r="C324" s="183" t="s">
        <v>337</v>
      </c>
      <c r="D324" s="184" t="s">
        <v>26</v>
      </c>
      <c r="E324" s="185"/>
      <c r="F324" s="186">
        <f>F325+F335+F332</f>
        <v>45364.3</v>
      </c>
      <c r="G324" s="186">
        <f>G325+G335+G332</f>
        <v>-1695.5</v>
      </c>
      <c r="H324" s="186">
        <f>H325+H335+H332</f>
        <v>43668.800000000003</v>
      </c>
      <c r="I324" s="187">
        <f>I325+I335</f>
        <v>124390.6</v>
      </c>
      <c r="J324" s="186">
        <f>J325+J335</f>
        <v>-18389.099999999999</v>
      </c>
      <c r="K324" s="187">
        <f>K325+K335</f>
        <v>106001.5</v>
      </c>
      <c r="L324" s="186">
        <f>L325+L335+L332</f>
        <v>169754.90000000002</v>
      </c>
      <c r="M324" s="186">
        <f>SUM(J324)+G324</f>
        <v>-20084.599999999999</v>
      </c>
      <c r="N324" s="186">
        <f>N325+N335+N332</f>
        <v>149670.29999999999</v>
      </c>
      <c r="O324" s="178">
        <f t="shared" si="70"/>
        <v>149670.30000000002</v>
      </c>
      <c r="P324" s="92">
        <f t="shared" si="71"/>
        <v>0</v>
      </c>
    </row>
    <row r="325" spans="1:16" ht="18.75" x14ac:dyDescent="0.2">
      <c r="A325" s="49"/>
      <c r="B325" s="190" t="s">
        <v>338</v>
      </c>
      <c r="C325" s="191" t="s">
        <v>339</v>
      </c>
      <c r="D325" s="192" t="s">
        <v>26</v>
      </c>
      <c r="E325" s="193"/>
      <c r="F325" s="194">
        <f t="shared" ref="F325:N325" si="83">F326</f>
        <v>29421.300000000003</v>
      </c>
      <c r="G325" s="194">
        <f t="shared" si="83"/>
        <v>-1695.5</v>
      </c>
      <c r="H325" s="194">
        <f t="shared" si="83"/>
        <v>27725.800000000003</v>
      </c>
      <c r="I325" s="195">
        <f t="shared" si="83"/>
        <v>119390.6</v>
      </c>
      <c r="J325" s="194">
        <f t="shared" si="83"/>
        <v>-18389.099999999999</v>
      </c>
      <c r="K325" s="195">
        <f t="shared" si="83"/>
        <v>101001.5</v>
      </c>
      <c r="L325" s="194">
        <f t="shared" si="83"/>
        <v>148811.90000000002</v>
      </c>
      <c r="M325" s="194">
        <f t="shared" si="83"/>
        <v>-20084.599999999999</v>
      </c>
      <c r="N325" s="194">
        <f t="shared" si="83"/>
        <v>128727.3</v>
      </c>
      <c r="O325" s="178">
        <f t="shared" si="70"/>
        <v>128727.30000000002</v>
      </c>
      <c r="P325" s="92">
        <f t="shared" si="71"/>
        <v>0</v>
      </c>
    </row>
    <row r="326" spans="1:16" ht="47.25" x14ac:dyDescent="0.2">
      <c r="A326" s="42"/>
      <c r="B326" s="168" t="s">
        <v>340</v>
      </c>
      <c r="C326" s="169" t="s">
        <v>341</v>
      </c>
      <c r="D326" s="170" t="s">
        <v>26</v>
      </c>
      <c r="E326" s="171"/>
      <c r="F326" s="172">
        <f>F327+F330</f>
        <v>29421.300000000003</v>
      </c>
      <c r="G326" s="172">
        <f>G327+G330</f>
        <v>-1695.5</v>
      </c>
      <c r="H326" s="172">
        <f>H327+H330</f>
        <v>27725.800000000003</v>
      </c>
      <c r="I326" s="188">
        <f>I327+I330</f>
        <v>119390.6</v>
      </c>
      <c r="J326" s="189">
        <f>SUM(J330)</f>
        <v>-18389.099999999999</v>
      </c>
      <c r="K326" s="188">
        <f>K327+K330</f>
        <v>101001.5</v>
      </c>
      <c r="L326" s="172">
        <f>L327+L330</f>
        <v>148811.90000000002</v>
      </c>
      <c r="M326" s="172">
        <f>M327+M330</f>
        <v>-20084.599999999999</v>
      </c>
      <c r="N326" s="172">
        <f>N327+N330</f>
        <v>128727.3</v>
      </c>
      <c r="O326" s="178">
        <f t="shared" si="70"/>
        <v>128727.30000000002</v>
      </c>
      <c r="P326" s="92">
        <f t="shared" si="71"/>
        <v>0</v>
      </c>
    </row>
    <row r="327" spans="1:16" ht="36" customHeight="1" x14ac:dyDescent="0.2">
      <c r="A327" s="42"/>
      <c r="B327" s="168" t="s">
        <v>342</v>
      </c>
      <c r="C327" s="169" t="s">
        <v>343</v>
      </c>
      <c r="D327" s="170" t="s">
        <v>26</v>
      </c>
      <c r="E327" s="171"/>
      <c r="F327" s="172">
        <f>F328+F329</f>
        <v>9985.6</v>
      </c>
      <c r="G327" s="172">
        <f>G328+G329</f>
        <v>1298</v>
      </c>
      <c r="H327" s="172">
        <f>H328+H329</f>
        <v>11283.6</v>
      </c>
      <c r="I327" s="188">
        <f>I328+I329</f>
        <v>0</v>
      </c>
      <c r="J327" s="189"/>
      <c r="K327" s="188">
        <f>K328+K329</f>
        <v>0</v>
      </c>
      <c r="L327" s="172">
        <f>L328+L329</f>
        <v>9985.6</v>
      </c>
      <c r="M327" s="172">
        <f>M328+M329</f>
        <v>1298</v>
      </c>
      <c r="N327" s="172">
        <f>N328+N329</f>
        <v>11283.6</v>
      </c>
      <c r="O327" s="178">
        <f t="shared" si="70"/>
        <v>11283.6</v>
      </c>
      <c r="P327" s="92">
        <f t="shared" si="71"/>
        <v>0</v>
      </c>
    </row>
    <row r="328" spans="1:16" ht="31.5" x14ac:dyDescent="0.2">
      <c r="A328" s="42"/>
      <c r="B328" s="168" t="s">
        <v>35</v>
      </c>
      <c r="C328" s="169" t="s">
        <v>343</v>
      </c>
      <c r="D328" s="170" t="s">
        <v>36</v>
      </c>
      <c r="E328" s="171"/>
      <c r="F328" s="172">
        <v>2940</v>
      </c>
      <c r="G328" s="172">
        <v>300</v>
      </c>
      <c r="H328" s="172">
        <f>F328+G328</f>
        <v>3240</v>
      </c>
      <c r="I328" s="188">
        <v>0</v>
      </c>
      <c r="J328" s="189"/>
      <c r="K328" s="188">
        <v>0</v>
      </c>
      <c r="L328" s="172">
        <f t="shared" ref="L328:N329" si="84">SUM(F328)</f>
        <v>2940</v>
      </c>
      <c r="M328" s="172">
        <f t="shared" si="84"/>
        <v>300</v>
      </c>
      <c r="N328" s="172">
        <f t="shared" si="84"/>
        <v>3240</v>
      </c>
      <c r="O328" s="178">
        <f t="shared" si="70"/>
        <v>3240</v>
      </c>
      <c r="P328" s="92">
        <f t="shared" si="71"/>
        <v>0</v>
      </c>
    </row>
    <row r="329" spans="1:16" ht="31.5" x14ac:dyDescent="0.2">
      <c r="A329" s="42"/>
      <c r="B329" s="168" t="s">
        <v>131</v>
      </c>
      <c r="C329" s="169" t="s">
        <v>343</v>
      </c>
      <c r="D329" s="170" t="s">
        <v>132</v>
      </c>
      <c r="E329" s="171"/>
      <c r="F329" s="172">
        <v>7045.6</v>
      </c>
      <c r="G329" s="172">
        <v>998</v>
      </c>
      <c r="H329" s="172">
        <f>SUM(F329)+G329</f>
        <v>8043.6</v>
      </c>
      <c r="I329" s="188">
        <v>0</v>
      </c>
      <c r="J329" s="189"/>
      <c r="K329" s="188">
        <v>0</v>
      </c>
      <c r="L329" s="172">
        <f>SUM(F329)</f>
        <v>7045.6</v>
      </c>
      <c r="M329" s="172">
        <f t="shared" si="84"/>
        <v>998</v>
      </c>
      <c r="N329" s="172">
        <f>SUM(H329)</f>
        <v>8043.6</v>
      </c>
      <c r="O329" s="178">
        <f t="shared" si="70"/>
        <v>8043.6</v>
      </c>
      <c r="P329" s="92">
        <f t="shared" si="71"/>
        <v>0</v>
      </c>
    </row>
    <row r="330" spans="1:16" ht="18.75" x14ac:dyDescent="0.2">
      <c r="A330" s="42"/>
      <c r="B330" s="168" t="s">
        <v>344</v>
      </c>
      <c r="C330" s="169" t="s">
        <v>345</v>
      </c>
      <c r="D330" s="170" t="s">
        <v>26</v>
      </c>
      <c r="E330" s="171"/>
      <c r="F330" s="172">
        <f>F331</f>
        <v>19435.7</v>
      </c>
      <c r="G330" s="254">
        <f>G331</f>
        <v>-2993.5</v>
      </c>
      <c r="H330" s="172">
        <f>H331</f>
        <v>16442.2</v>
      </c>
      <c r="I330" s="188">
        <f>I331</f>
        <v>119390.6</v>
      </c>
      <c r="J330" s="189">
        <v>-18389.099999999999</v>
      </c>
      <c r="K330" s="188">
        <f>K331</f>
        <v>101001.5</v>
      </c>
      <c r="L330" s="172">
        <f>L331</f>
        <v>138826.30000000002</v>
      </c>
      <c r="M330" s="172">
        <f>M331</f>
        <v>-21382.6</v>
      </c>
      <c r="N330" s="172">
        <f>N331</f>
        <v>117443.7</v>
      </c>
      <c r="O330" s="178">
        <f t="shared" si="70"/>
        <v>117443.70000000001</v>
      </c>
      <c r="P330" s="92">
        <f t="shared" si="71"/>
        <v>0</v>
      </c>
    </row>
    <row r="331" spans="1:16" ht="31.5" x14ac:dyDescent="0.2">
      <c r="A331" s="42"/>
      <c r="B331" s="168" t="s">
        <v>131</v>
      </c>
      <c r="C331" s="169" t="s">
        <v>345</v>
      </c>
      <c r="D331" s="170" t="s">
        <v>132</v>
      </c>
      <c r="E331" s="171"/>
      <c r="F331" s="172">
        <v>19435.7</v>
      </c>
      <c r="G331" s="172">
        <v>-2993.5</v>
      </c>
      <c r="H331" s="172">
        <f>SUM(F331)+G331</f>
        <v>16442.2</v>
      </c>
      <c r="I331" s="188">
        <v>119390.6</v>
      </c>
      <c r="J331" s="189">
        <v>-18389.099999999999</v>
      </c>
      <c r="K331" s="188">
        <f>SUM(I331)+J331</f>
        <v>101001.5</v>
      </c>
      <c r="L331" s="172">
        <f>SUM(F331)+I331</f>
        <v>138826.30000000002</v>
      </c>
      <c r="M331" s="172">
        <f>SUM(G331)+J331</f>
        <v>-21382.6</v>
      </c>
      <c r="N331" s="172">
        <f>SUM(H331)+K331</f>
        <v>117443.7</v>
      </c>
      <c r="O331" s="178">
        <f t="shared" si="70"/>
        <v>117443.70000000001</v>
      </c>
      <c r="P331" s="92">
        <f t="shared" si="71"/>
        <v>0</v>
      </c>
    </row>
    <row r="332" spans="1:16" ht="18.75" x14ac:dyDescent="0.2">
      <c r="A332" s="42"/>
      <c r="B332" s="168" t="s">
        <v>346</v>
      </c>
      <c r="C332" s="169" t="s">
        <v>347</v>
      </c>
      <c r="D332" s="170"/>
      <c r="E332" s="171"/>
      <c r="F332" s="172">
        <v>0</v>
      </c>
      <c r="G332" s="172">
        <f>SUM(G334)</f>
        <v>0</v>
      </c>
      <c r="H332" s="172">
        <f>SUM(F332:G332)</f>
        <v>0</v>
      </c>
      <c r="I332" s="188"/>
      <c r="J332" s="189"/>
      <c r="K332" s="188"/>
      <c r="L332" s="172">
        <f>SUM(F332)</f>
        <v>0</v>
      </c>
      <c r="M332" s="172">
        <f>SUM(G332)</f>
        <v>0</v>
      </c>
      <c r="N332" s="172">
        <f>SUM(H332)</f>
        <v>0</v>
      </c>
      <c r="O332" s="178">
        <f t="shared" si="70"/>
        <v>0</v>
      </c>
      <c r="P332" s="92">
        <f t="shared" si="71"/>
        <v>0</v>
      </c>
    </row>
    <row r="333" spans="1:16" ht="1.5" customHeight="1" x14ac:dyDescent="0.2">
      <c r="A333" s="42"/>
      <c r="B333" s="168"/>
      <c r="C333" s="169"/>
      <c r="D333" s="170"/>
      <c r="E333" s="171"/>
      <c r="F333" s="172"/>
      <c r="G333" s="172">
        <f>SUM(G334)</f>
        <v>0</v>
      </c>
      <c r="H333" s="172">
        <f>SUM(G333)</f>
        <v>0</v>
      </c>
      <c r="I333" s="188"/>
      <c r="J333" s="189"/>
      <c r="K333" s="188"/>
      <c r="L333" s="172"/>
      <c r="M333" s="172">
        <f>SUM(G333)</f>
        <v>0</v>
      </c>
      <c r="N333" s="172">
        <f>SUM(M333)</f>
        <v>0</v>
      </c>
      <c r="O333" s="178">
        <f t="shared" si="70"/>
        <v>0</v>
      </c>
      <c r="P333" s="92">
        <f t="shared" si="71"/>
        <v>0</v>
      </c>
    </row>
    <row r="334" spans="1:16" ht="31.5" x14ac:dyDescent="0.2">
      <c r="A334" s="42"/>
      <c r="B334" s="168" t="s">
        <v>131</v>
      </c>
      <c r="C334" s="169" t="s">
        <v>347</v>
      </c>
      <c r="D334" s="170" t="s">
        <v>132</v>
      </c>
      <c r="E334" s="171"/>
      <c r="F334" s="172">
        <v>0</v>
      </c>
      <c r="G334" s="172"/>
      <c r="H334" s="172">
        <f>SUM(F334:G334)</f>
        <v>0</v>
      </c>
      <c r="I334" s="188"/>
      <c r="J334" s="189"/>
      <c r="K334" s="188"/>
      <c r="L334" s="172">
        <f>SUM(F334)</f>
        <v>0</v>
      </c>
      <c r="M334" s="172">
        <f>SUM(G334)</f>
        <v>0</v>
      </c>
      <c r="N334" s="172">
        <f>SUM(H334)</f>
        <v>0</v>
      </c>
      <c r="O334" s="178">
        <f t="shared" si="70"/>
        <v>0</v>
      </c>
      <c r="P334" s="92">
        <f t="shared" si="71"/>
        <v>0</v>
      </c>
    </row>
    <row r="335" spans="1:16" ht="18.75" x14ac:dyDescent="0.2">
      <c r="A335" s="42"/>
      <c r="B335" s="190" t="s">
        <v>348</v>
      </c>
      <c r="C335" s="191" t="s">
        <v>349</v>
      </c>
      <c r="D335" s="192"/>
      <c r="E335" s="193"/>
      <c r="F335" s="194">
        <f>SUM(F337)</f>
        <v>15943</v>
      </c>
      <c r="G335" s="194">
        <f>SUM(G337)</f>
        <v>0</v>
      </c>
      <c r="H335" s="194">
        <f>SUM(H337)</f>
        <v>15943</v>
      </c>
      <c r="I335" s="188">
        <v>5000</v>
      </c>
      <c r="J335" s="194">
        <f>SUM(J337)</f>
        <v>0</v>
      </c>
      <c r="K335" s="189">
        <v>5000</v>
      </c>
      <c r="L335" s="194">
        <f>SUM(L337)+I335</f>
        <v>20943</v>
      </c>
      <c r="M335" s="194">
        <f>SUM(M337)</f>
        <v>0</v>
      </c>
      <c r="N335" s="172">
        <f>SUM(H335+K335)</f>
        <v>20943</v>
      </c>
      <c r="O335" s="178">
        <f t="shared" si="70"/>
        <v>20943</v>
      </c>
      <c r="P335" s="92">
        <f t="shared" si="71"/>
        <v>0</v>
      </c>
    </row>
    <row r="336" spans="1:16" ht="47.25" x14ac:dyDescent="0.2">
      <c r="A336" s="42"/>
      <c r="B336" s="168" t="s">
        <v>350</v>
      </c>
      <c r="C336" s="169" t="s">
        <v>351</v>
      </c>
      <c r="D336" s="170"/>
      <c r="E336" s="171"/>
      <c r="F336" s="172">
        <f>SUM(F337)</f>
        <v>15943</v>
      </c>
      <c r="G336" s="172">
        <f>SUM(G337)</f>
        <v>0</v>
      </c>
      <c r="H336" s="172">
        <f>SUM(H337)</f>
        <v>15943</v>
      </c>
      <c r="I336" s="188">
        <v>5000</v>
      </c>
      <c r="J336" s="189"/>
      <c r="K336" s="189">
        <v>5000</v>
      </c>
      <c r="L336" s="172">
        <f>SUM(L337)+I336</f>
        <v>20943</v>
      </c>
      <c r="M336" s="172">
        <f>SUM(M337)</f>
        <v>0</v>
      </c>
      <c r="N336" s="172">
        <f>SUM(N337)+K336</f>
        <v>20943</v>
      </c>
      <c r="O336" s="178">
        <f t="shared" si="70"/>
        <v>20943</v>
      </c>
      <c r="P336" s="92">
        <f t="shared" si="71"/>
        <v>0</v>
      </c>
    </row>
    <row r="337" spans="1:17" ht="18.75" x14ac:dyDescent="0.2">
      <c r="A337" s="42"/>
      <c r="B337" s="168" t="s">
        <v>348</v>
      </c>
      <c r="C337" s="169" t="s">
        <v>352</v>
      </c>
      <c r="D337" s="170"/>
      <c r="E337" s="171"/>
      <c r="F337" s="172">
        <f>F338+F339</f>
        <v>15943</v>
      </c>
      <c r="G337" s="172">
        <f>G338+G339</f>
        <v>0</v>
      </c>
      <c r="H337" s="172">
        <f>H338+H339</f>
        <v>15943</v>
      </c>
      <c r="I337" s="188"/>
      <c r="J337" s="189"/>
      <c r="K337" s="189"/>
      <c r="L337" s="172">
        <f>SUM(F337)+I337</f>
        <v>15943</v>
      </c>
      <c r="M337" s="172"/>
      <c r="N337" s="172">
        <f>SUM(H337)+K337</f>
        <v>15943</v>
      </c>
      <c r="O337" s="178">
        <f t="shared" ref="O337:O400" si="85">L337+M337</f>
        <v>15943</v>
      </c>
      <c r="P337" s="92">
        <f t="shared" ref="P337:P400" si="86">O337-N337</f>
        <v>0</v>
      </c>
    </row>
    <row r="338" spans="1:17" ht="31.5" x14ac:dyDescent="0.2">
      <c r="A338" s="42"/>
      <c r="B338" s="168" t="s">
        <v>35</v>
      </c>
      <c r="C338" s="169" t="s">
        <v>352</v>
      </c>
      <c r="D338" s="170" t="s">
        <v>36</v>
      </c>
      <c r="E338" s="171"/>
      <c r="F338" s="172">
        <v>14129</v>
      </c>
      <c r="G338" s="172"/>
      <c r="H338" s="172">
        <f>SUM(F338:G338)</f>
        <v>14129</v>
      </c>
      <c r="I338" s="188"/>
      <c r="J338" s="189"/>
      <c r="K338" s="188">
        <f>SUM(I338)</f>
        <v>0</v>
      </c>
      <c r="L338" s="172">
        <f>SUM(F338)+I338</f>
        <v>14129</v>
      </c>
      <c r="M338" s="172"/>
      <c r="N338" s="172">
        <f>SUM(H338)+K338</f>
        <v>14129</v>
      </c>
      <c r="O338" s="178">
        <f t="shared" si="85"/>
        <v>14129</v>
      </c>
      <c r="P338" s="92">
        <f t="shared" si="86"/>
        <v>0</v>
      </c>
    </row>
    <row r="339" spans="1:17" ht="31.5" x14ac:dyDescent="0.2">
      <c r="A339" s="42"/>
      <c r="B339" s="168" t="s">
        <v>131</v>
      </c>
      <c r="C339" s="169" t="s">
        <v>352</v>
      </c>
      <c r="D339" s="170" t="s">
        <v>132</v>
      </c>
      <c r="E339" s="171"/>
      <c r="F339" s="172">
        <v>1814</v>
      </c>
      <c r="G339" s="172"/>
      <c r="H339" s="172">
        <v>1814</v>
      </c>
      <c r="I339" s="188"/>
      <c r="J339" s="189"/>
      <c r="K339" s="188"/>
      <c r="L339" s="172">
        <f>SUM(F339)</f>
        <v>1814</v>
      </c>
      <c r="M339" s="172">
        <f>SUM(G339)</f>
        <v>0</v>
      </c>
      <c r="N339" s="172">
        <f>SUM(H339)</f>
        <v>1814</v>
      </c>
      <c r="O339" s="178">
        <f t="shared" si="85"/>
        <v>1814</v>
      </c>
      <c r="P339" s="92">
        <f t="shared" si="86"/>
        <v>0</v>
      </c>
    </row>
    <row r="340" spans="1:17" ht="31.5" x14ac:dyDescent="0.2">
      <c r="A340" s="42"/>
      <c r="B340" s="168" t="s">
        <v>497</v>
      </c>
      <c r="C340" s="169" t="s">
        <v>496</v>
      </c>
      <c r="D340" s="170"/>
      <c r="E340" s="171"/>
      <c r="F340" s="172"/>
      <c r="G340" s="172"/>
      <c r="H340" s="172"/>
      <c r="I340" s="188">
        <v>5000</v>
      </c>
      <c r="J340" s="189"/>
      <c r="K340" s="188">
        <f>SUM(I340)</f>
        <v>5000</v>
      </c>
      <c r="L340" s="172">
        <f>SUM(I340)</f>
        <v>5000</v>
      </c>
      <c r="M340" s="172"/>
      <c r="N340" s="172">
        <f>SUM(K340)</f>
        <v>5000</v>
      </c>
      <c r="O340" s="178">
        <f t="shared" si="85"/>
        <v>5000</v>
      </c>
      <c r="P340" s="92">
        <f t="shared" si="86"/>
        <v>0</v>
      </c>
    </row>
    <row r="341" spans="1:17" ht="31.5" x14ac:dyDescent="0.2">
      <c r="A341" s="42"/>
      <c r="B341" s="168" t="s">
        <v>35</v>
      </c>
      <c r="C341" s="169" t="s">
        <v>496</v>
      </c>
      <c r="D341" s="170" t="s">
        <v>36</v>
      </c>
      <c r="E341" s="171"/>
      <c r="F341" s="172"/>
      <c r="G341" s="172"/>
      <c r="H341" s="172"/>
      <c r="I341" s="188">
        <v>5000</v>
      </c>
      <c r="J341" s="189"/>
      <c r="K341" s="188">
        <f>SUM(I341)</f>
        <v>5000</v>
      </c>
      <c r="L341" s="172">
        <f>SUM(I341)</f>
        <v>5000</v>
      </c>
      <c r="M341" s="172"/>
      <c r="N341" s="172">
        <f>SUM(K341)</f>
        <v>5000</v>
      </c>
      <c r="O341" s="178">
        <f t="shared" si="85"/>
        <v>5000</v>
      </c>
      <c r="P341" s="92">
        <f t="shared" si="86"/>
        <v>0</v>
      </c>
    </row>
    <row r="342" spans="1:17" ht="31.5" x14ac:dyDescent="0.2">
      <c r="A342" s="19" t="s">
        <v>353</v>
      </c>
      <c r="B342" s="182" t="s">
        <v>354</v>
      </c>
      <c r="C342" s="183" t="s">
        <v>355</v>
      </c>
      <c r="D342" s="184" t="s">
        <v>26</v>
      </c>
      <c r="E342" s="185"/>
      <c r="F342" s="186">
        <f t="shared" ref="F342:N342" si="87">F343+F356+F362</f>
        <v>78823.3</v>
      </c>
      <c r="G342" s="186">
        <f t="shared" si="87"/>
        <v>2008.7</v>
      </c>
      <c r="H342" s="186">
        <f t="shared" si="87"/>
        <v>80832</v>
      </c>
      <c r="I342" s="187">
        <f t="shared" si="87"/>
        <v>0</v>
      </c>
      <c r="J342" s="186">
        <f t="shared" si="87"/>
        <v>0</v>
      </c>
      <c r="K342" s="187">
        <f t="shared" si="87"/>
        <v>0</v>
      </c>
      <c r="L342" s="186">
        <f t="shared" si="87"/>
        <v>78823.3</v>
      </c>
      <c r="M342" s="186">
        <f t="shared" si="87"/>
        <v>2008.7</v>
      </c>
      <c r="N342" s="186">
        <f t="shared" si="87"/>
        <v>80832</v>
      </c>
      <c r="O342" s="178">
        <f t="shared" si="85"/>
        <v>80832</v>
      </c>
      <c r="P342" s="92">
        <f t="shared" si="86"/>
        <v>0</v>
      </c>
      <c r="Q342" s="25"/>
    </row>
    <row r="343" spans="1:17" ht="18.75" x14ac:dyDescent="0.2">
      <c r="A343" s="49"/>
      <c r="B343" s="190" t="s">
        <v>356</v>
      </c>
      <c r="C343" s="191" t="s">
        <v>357</v>
      </c>
      <c r="D343" s="192" t="s">
        <v>26</v>
      </c>
      <c r="E343" s="193"/>
      <c r="F343" s="194">
        <f t="shared" ref="F343:N343" si="88">F344+F349</f>
        <v>53814.700000000004</v>
      </c>
      <c r="G343" s="194">
        <f t="shared" si="88"/>
        <v>1998.7</v>
      </c>
      <c r="H343" s="194">
        <f t="shared" si="88"/>
        <v>55813.4</v>
      </c>
      <c r="I343" s="195">
        <f t="shared" si="88"/>
        <v>0</v>
      </c>
      <c r="J343" s="194">
        <f t="shared" si="88"/>
        <v>0</v>
      </c>
      <c r="K343" s="195">
        <f t="shared" si="88"/>
        <v>0</v>
      </c>
      <c r="L343" s="194">
        <f t="shared" si="88"/>
        <v>53814.700000000004</v>
      </c>
      <c r="M343" s="194">
        <f t="shared" si="88"/>
        <v>1998.7</v>
      </c>
      <c r="N343" s="194">
        <f t="shared" si="88"/>
        <v>55813.4</v>
      </c>
      <c r="O343" s="178">
        <f t="shared" si="85"/>
        <v>55813.4</v>
      </c>
      <c r="P343" s="92">
        <f t="shared" si="86"/>
        <v>0</v>
      </c>
      <c r="Q343" s="55"/>
    </row>
    <row r="344" spans="1:17" ht="18.75" x14ac:dyDescent="0.2">
      <c r="A344" s="42"/>
      <c r="B344" s="168" t="s">
        <v>358</v>
      </c>
      <c r="C344" s="169" t="s">
        <v>359</v>
      </c>
      <c r="D344" s="170" t="s">
        <v>26</v>
      </c>
      <c r="E344" s="171"/>
      <c r="F344" s="172">
        <f>F345</f>
        <v>40652.300000000003</v>
      </c>
      <c r="G344" s="172">
        <f>G345</f>
        <v>1923.2</v>
      </c>
      <c r="H344" s="172">
        <f>H345</f>
        <v>42575.5</v>
      </c>
      <c r="I344" s="188">
        <f>I345</f>
        <v>0</v>
      </c>
      <c r="J344" s="189"/>
      <c r="K344" s="188">
        <f>K345</f>
        <v>0</v>
      </c>
      <c r="L344" s="172">
        <f>L345</f>
        <v>40652.300000000003</v>
      </c>
      <c r="M344" s="172">
        <f>M345</f>
        <v>1923.2</v>
      </c>
      <c r="N344" s="172">
        <f>N345</f>
        <v>42575.5</v>
      </c>
      <c r="O344" s="178">
        <f t="shared" si="85"/>
        <v>42575.5</v>
      </c>
      <c r="P344" s="92">
        <f t="shared" si="86"/>
        <v>0</v>
      </c>
    </row>
    <row r="345" spans="1:17" ht="31.5" x14ac:dyDescent="0.2">
      <c r="A345" s="42"/>
      <c r="B345" s="168" t="s">
        <v>39</v>
      </c>
      <c r="C345" s="169" t="s">
        <v>360</v>
      </c>
      <c r="D345" s="170" t="s">
        <v>26</v>
      </c>
      <c r="E345" s="171"/>
      <c r="F345" s="172">
        <f>F346+F347+F348</f>
        <v>40652.300000000003</v>
      </c>
      <c r="G345" s="172">
        <f>G346+G347</f>
        <v>1923.2</v>
      </c>
      <c r="H345" s="172">
        <f>H346+H347+H348</f>
        <v>42575.5</v>
      </c>
      <c r="I345" s="188">
        <f>I346+I347+I348</f>
        <v>0</v>
      </c>
      <c r="J345" s="189"/>
      <c r="K345" s="188">
        <f>K346+K347+K348</f>
        <v>0</v>
      </c>
      <c r="L345" s="172">
        <f>L346+L347+L348</f>
        <v>40652.300000000003</v>
      </c>
      <c r="M345" s="172">
        <f>M346+M347+M348</f>
        <v>1923.2</v>
      </c>
      <c r="N345" s="172">
        <f>N346+N347+N348</f>
        <v>42575.5</v>
      </c>
      <c r="O345" s="178">
        <f t="shared" si="85"/>
        <v>42575.5</v>
      </c>
      <c r="P345" s="92">
        <f t="shared" si="86"/>
        <v>0</v>
      </c>
    </row>
    <row r="346" spans="1:17" ht="64.150000000000006" customHeight="1" x14ac:dyDescent="0.2">
      <c r="A346" s="42"/>
      <c r="B346" s="168" t="s">
        <v>31</v>
      </c>
      <c r="C346" s="169" t="s">
        <v>360</v>
      </c>
      <c r="D346" s="170" t="s">
        <v>32</v>
      </c>
      <c r="E346" s="171"/>
      <c r="F346" s="172">
        <v>27266.5</v>
      </c>
      <c r="G346" s="172">
        <f>260+318</f>
        <v>578</v>
      </c>
      <c r="H346" s="172">
        <f>SUM(F346)+G346</f>
        <v>27844.5</v>
      </c>
      <c r="I346" s="188">
        <v>0</v>
      </c>
      <c r="J346" s="189"/>
      <c r="K346" s="188">
        <v>0</v>
      </c>
      <c r="L346" s="172">
        <f t="shared" ref="L346:N347" si="89">SUM(F346)</f>
        <v>27266.5</v>
      </c>
      <c r="M346" s="172">
        <f t="shared" si="89"/>
        <v>578</v>
      </c>
      <c r="N346" s="172">
        <f t="shared" si="89"/>
        <v>27844.5</v>
      </c>
      <c r="O346" s="178">
        <f t="shared" si="85"/>
        <v>27844.5</v>
      </c>
      <c r="P346" s="92">
        <f t="shared" si="86"/>
        <v>0</v>
      </c>
    </row>
    <row r="347" spans="1:17" ht="31.5" x14ac:dyDescent="0.2">
      <c r="A347" s="42"/>
      <c r="B347" s="168" t="s">
        <v>35</v>
      </c>
      <c r="C347" s="169" t="s">
        <v>360</v>
      </c>
      <c r="D347" s="170" t="s">
        <v>36</v>
      </c>
      <c r="E347" s="171"/>
      <c r="F347" s="172">
        <v>13308.4</v>
      </c>
      <c r="G347" s="172">
        <f>1000-260+605.2</f>
        <v>1345.2</v>
      </c>
      <c r="H347" s="172">
        <f>SUM(F347)+G347</f>
        <v>14653.6</v>
      </c>
      <c r="I347" s="188">
        <v>0</v>
      </c>
      <c r="J347" s="189"/>
      <c r="K347" s="188">
        <v>0</v>
      </c>
      <c r="L347" s="172">
        <f t="shared" si="89"/>
        <v>13308.4</v>
      </c>
      <c r="M347" s="172">
        <f>SUM(G347)</f>
        <v>1345.2</v>
      </c>
      <c r="N347" s="172">
        <f t="shared" si="89"/>
        <v>14653.6</v>
      </c>
      <c r="O347" s="178">
        <f t="shared" si="85"/>
        <v>14653.6</v>
      </c>
      <c r="P347" s="92">
        <f t="shared" si="86"/>
        <v>0</v>
      </c>
    </row>
    <row r="348" spans="1:17" ht="18.75" x14ac:dyDescent="0.2">
      <c r="A348" s="42"/>
      <c r="B348" s="168" t="s">
        <v>41</v>
      </c>
      <c r="C348" s="169" t="s">
        <v>360</v>
      </c>
      <c r="D348" s="170" t="s">
        <v>42</v>
      </c>
      <c r="E348" s="171"/>
      <c r="F348" s="172">
        <v>77.400000000000006</v>
      </c>
      <c r="G348" s="172"/>
      <c r="H348" s="172">
        <v>77.400000000000006</v>
      </c>
      <c r="I348" s="188">
        <v>0</v>
      </c>
      <c r="J348" s="189"/>
      <c r="K348" s="188">
        <v>0</v>
      </c>
      <c r="L348" s="172">
        <v>77.400000000000006</v>
      </c>
      <c r="M348" s="172"/>
      <c r="N348" s="172">
        <v>77.400000000000006</v>
      </c>
      <c r="O348" s="178">
        <f t="shared" si="85"/>
        <v>77.400000000000006</v>
      </c>
      <c r="P348" s="92">
        <f t="shared" si="86"/>
        <v>0</v>
      </c>
    </row>
    <row r="349" spans="1:17" ht="31.5" x14ac:dyDescent="0.2">
      <c r="A349" s="42"/>
      <c r="B349" s="168" t="s">
        <v>361</v>
      </c>
      <c r="C349" s="169" t="s">
        <v>362</v>
      </c>
      <c r="D349" s="170" t="s">
        <v>26</v>
      </c>
      <c r="E349" s="171"/>
      <c r="F349" s="172">
        <f>F350+F353</f>
        <v>13162.4</v>
      </c>
      <c r="G349" s="172">
        <f>G350+G353</f>
        <v>75.5</v>
      </c>
      <c r="H349" s="172">
        <f>H350+H353</f>
        <v>13237.9</v>
      </c>
      <c r="I349" s="188">
        <f>I350+I353</f>
        <v>0</v>
      </c>
      <c r="J349" s="189"/>
      <c r="K349" s="188">
        <f>K350+K353</f>
        <v>0</v>
      </c>
      <c r="L349" s="172">
        <f>L350+L353</f>
        <v>13162.4</v>
      </c>
      <c r="M349" s="172">
        <f>M350+M353</f>
        <v>75.5</v>
      </c>
      <c r="N349" s="172">
        <f>N350+N353</f>
        <v>13237.9</v>
      </c>
      <c r="O349" s="178">
        <f t="shared" si="85"/>
        <v>13237.9</v>
      </c>
      <c r="P349" s="92">
        <f t="shared" si="86"/>
        <v>0</v>
      </c>
    </row>
    <row r="350" spans="1:17" ht="31.5" x14ac:dyDescent="0.2">
      <c r="A350" s="42"/>
      <c r="B350" s="168" t="s">
        <v>39</v>
      </c>
      <c r="C350" s="169" t="s">
        <v>363</v>
      </c>
      <c r="D350" s="170" t="s">
        <v>26</v>
      </c>
      <c r="E350" s="171"/>
      <c r="F350" s="172">
        <f>F351+F352</f>
        <v>10245</v>
      </c>
      <c r="G350" s="172">
        <f>G351+G352</f>
        <v>0</v>
      </c>
      <c r="H350" s="172">
        <f>H351+H352</f>
        <v>10245</v>
      </c>
      <c r="I350" s="188">
        <f>I351+I352</f>
        <v>0</v>
      </c>
      <c r="J350" s="189"/>
      <c r="K350" s="188">
        <f>K351+K352</f>
        <v>0</v>
      </c>
      <c r="L350" s="172">
        <f>L351+L352</f>
        <v>10245</v>
      </c>
      <c r="M350" s="172">
        <f>M351+M352</f>
        <v>0</v>
      </c>
      <c r="N350" s="172">
        <f>N351+N352</f>
        <v>10245</v>
      </c>
      <c r="O350" s="178">
        <f t="shared" si="85"/>
        <v>10245</v>
      </c>
      <c r="P350" s="92">
        <f t="shared" si="86"/>
        <v>0</v>
      </c>
    </row>
    <row r="351" spans="1:17" ht="64.150000000000006" customHeight="1" x14ac:dyDescent="0.2">
      <c r="A351" s="42"/>
      <c r="B351" s="168" t="s">
        <v>31</v>
      </c>
      <c r="C351" s="169" t="s">
        <v>363</v>
      </c>
      <c r="D351" s="170" t="s">
        <v>32</v>
      </c>
      <c r="E351" s="171"/>
      <c r="F351" s="172">
        <v>9545</v>
      </c>
      <c r="G351" s="172"/>
      <c r="H351" s="172">
        <f>SUM(F351)</f>
        <v>9545</v>
      </c>
      <c r="I351" s="188">
        <v>0</v>
      </c>
      <c r="J351" s="189"/>
      <c r="K351" s="188">
        <v>0</v>
      </c>
      <c r="L351" s="172">
        <f>SUM(F351)</f>
        <v>9545</v>
      </c>
      <c r="M351" s="172">
        <f>SUM(G351)</f>
        <v>0</v>
      </c>
      <c r="N351" s="172">
        <f>SUM(H351)</f>
        <v>9545</v>
      </c>
      <c r="O351" s="178">
        <f t="shared" si="85"/>
        <v>9545</v>
      </c>
      <c r="P351" s="92">
        <f t="shared" si="86"/>
        <v>0</v>
      </c>
    </row>
    <row r="352" spans="1:17" ht="31.5" x14ac:dyDescent="0.2">
      <c r="A352" s="42"/>
      <c r="B352" s="168" t="s">
        <v>35</v>
      </c>
      <c r="C352" s="169" t="s">
        <v>363</v>
      </c>
      <c r="D352" s="170" t="s">
        <v>36</v>
      </c>
      <c r="E352" s="171"/>
      <c r="F352" s="172">
        <v>700</v>
      </c>
      <c r="G352" s="172"/>
      <c r="H352" s="172">
        <v>700</v>
      </c>
      <c r="I352" s="188">
        <v>0</v>
      </c>
      <c r="J352" s="189"/>
      <c r="K352" s="188">
        <v>0</v>
      </c>
      <c r="L352" s="172">
        <v>700</v>
      </c>
      <c r="M352" s="172"/>
      <c r="N352" s="172">
        <v>700</v>
      </c>
      <c r="O352" s="178">
        <f t="shared" si="85"/>
        <v>700</v>
      </c>
      <c r="P352" s="92">
        <f t="shared" si="86"/>
        <v>0</v>
      </c>
    </row>
    <row r="353" spans="1:16" ht="31.5" x14ac:dyDescent="0.2">
      <c r="A353" s="42"/>
      <c r="B353" s="168" t="s">
        <v>364</v>
      </c>
      <c r="C353" s="169" t="s">
        <v>365</v>
      </c>
      <c r="D353" s="170" t="s">
        <v>26</v>
      </c>
      <c r="E353" s="171"/>
      <c r="F353" s="172">
        <f>F354+F355</f>
        <v>2917.4</v>
      </c>
      <c r="G353" s="172">
        <f>SUM(G354)+G355</f>
        <v>75.5</v>
      </c>
      <c r="H353" s="172">
        <f>H354+H355</f>
        <v>2992.9</v>
      </c>
      <c r="I353" s="188">
        <f>I354+I355</f>
        <v>0</v>
      </c>
      <c r="J353" s="189"/>
      <c r="K353" s="188">
        <f>K354+K355</f>
        <v>0</v>
      </c>
      <c r="L353" s="172">
        <f>SUM(F353)</f>
        <v>2917.4</v>
      </c>
      <c r="M353" s="172">
        <f>SUM(M354)+M355</f>
        <v>75.5</v>
      </c>
      <c r="N353" s="172">
        <f>M353+L353</f>
        <v>2992.9</v>
      </c>
      <c r="O353" s="178">
        <f t="shared" si="85"/>
        <v>2992.9</v>
      </c>
      <c r="P353" s="92">
        <f t="shared" si="86"/>
        <v>0</v>
      </c>
    </row>
    <row r="354" spans="1:16" ht="31.5" x14ac:dyDescent="0.2">
      <c r="A354" s="42"/>
      <c r="B354" s="168" t="s">
        <v>35</v>
      </c>
      <c r="C354" s="169" t="s">
        <v>365</v>
      </c>
      <c r="D354" s="170" t="s">
        <v>36</v>
      </c>
      <c r="E354" s="171"/>
      <c r="F354" s="172">
        <v>1943</v>
      </c>
      <c r="G354" s="172">
        <f>-110.5+110.5-35</f>
        <v>-35</v>
      </c>
      <c r="H354" s="172">
        <f>1943+G354</f>
        <v>1908</v>
      </c>
      <c r="I354" s="188">
        <v>0</v>
      </c>
      <c r="J354" s="189"/>
      <c r="K354" s="188">
        <v>0</v>
      </c>
      <c r="L354" s="172">
        <f>F354+I354</f>
        <v>1943</v>
      </c>
      <c r="M354" s="172">
        <f>SUM(G354)</f>
        <v>-35</v>
      </c>
      <c r="N354" s="172">
        <f>H354+K354</f>
        <v>1908</v>
      </c>
      <c r="O354" s="178">
        <f t="shared" si="85"/>
        <v>1908</v>
      </c>
      <c r="P354" s="92">
        <f t="shared" si="86"/>
        <v>0</v>
      </c>
    </row>
    <row r="355" spans="1:16" ht="18.75" x14ac:dyDescent="0.2">
      <c r="A355" s="42"/>
      <c r="B355" s="168" t="s">
        <v>41</v>
      </c>
      <c r="C355" s="169" t="s">
        <v>365</v>
      </c>
      <c r="D355" s="170" t="s">
        <v>42</v>
      </c>
      <c r="E355" s="171"/>
      <c r="F355" s="172">
        <v>974.4</v>
      </c>
      <c r="G355" s="172">
        <v>110.5</v>
      </c>
      <c r="H355" s="172">
        <f>974.4+G355</f>
        <v>1084.9000000000001</v>
      </c>
      <c r="I355" s="188">
        <v>0</v>
      </c>
      <c r="J355" s="189"/>
      <c r="K355" s="188">
        <v>0</v>
      </c>
      <c r="L355" s="172">
        <f>SUM(F355)</f>
        <v>974.4</v>
      </c>
      <c r="M355" s="172">
        <f>SUM(G355)</f>
        <v>110.5</v>
      </c>
      <c r="N355" s="172">
        <f>SUM(L355:M355)</f>
        <v>1084.9000000000001</v>
      </c>
      <c r="O355" s="178">
        <f t="shared" si="85"/>
        <v>1084.9000000000001</v>
      </c>
      <c r="P355" s="92">
        <f t="shared" si="86"/>
        <v>0</v>
      </c>
    </row>
    <row r="356" spans="1:16" ht="18.75" x14ac:dyDescent="0.2">
      <c r="A356" s="49"/>
      <c r="B356" s="190" t="s">
        <v>366</v>
      </c>
      <c r="C356" s="191" t="s">
        <v>367</v>
      </c>
      <c r="D356" s="192" t="s">
        <v>26</v>
      </c>
      <c r="E356" s="193"/>
      <c r="F356" s="194">
        <f t="shared" ref="F356:N356" si="90">F357</f>
        <v>210.5</v>
      </c>
      <c r="G356" s="194">
        <f t="shared" si="90"/>
        <v>10</v>
      </c>
      <c r="H356" s="194">
        <f t="shared" si="90"/>
        <v>220.5</v>
      </c>
      <c r="I356" s="195">
        <f t="shared" si="90"/>
        <v>0</v>
      </c>
      <c r="J356" s="194">
        <f t="shared" si="90"/>
        <v>0</v>
      </c>
      <c r="K356" s="195">
        <f t="shared" si="90"/>
        <v>0</v>
      </c>
      <c r="L356" s="194">
        <f t="shared" si="90"/>
        <v>210.5</v>
      </c>
      <c r="M356" s="194">
        <f t="shared" si="90"/>
        <v>10</v>
      </c>
      <c r="N356" s="194">
        <f t="shared" si="90"/>
        <v>220.5</v>
      </c>
      <c r="O356" s="178">
        <f t="shared" si="85"/>
        <v>220.5</v>
      </c>
      <c r="P356" s="92">
        <f t="shared" si="86"/>
        <v>0</v>
      </c>
    </row>
    <row r="357" spans="1:16" ht="39" customHeight="1" x14ac:dyDescent="0.2">
      <c r="A357" s="42"/>
      <c r="B357" s="168" t="s">
        <v>368</v>
      </c>
      <c r="C357" s="169" t="s">
        <v>369</v>
      </c>
      <c r="D357" s="170" t="s">
        <v>26</v>
      </c>
      <c r="E357" s="171"/>
      <c r="F357" s="172">
        <f>F358+F360</f>
        <v>210.5</v>
      </c>
      <c r="G357" s="172">
        <f>G358+G360</f>
        <v>10</v>
      </c>
      <c r="H357" s="172">
        <f>H358+H360</f>
        <v>220.5</v>
      </c>
      <c r="I357" s="188">
        <f>I358+I360</f>
        <v>0</v>
      </c>
      <c r="J357" s="189"/>
      <c r="K357" s="188">
        <f>K358+K360</f>
        <v>0</v>
      </c>
      <c r="L357" s="172">
        <f>L358+L360</f>
        <v>210.5</v>
      </c>
      <c r="M357" s="172">
        <f>M358+M360</f>
        <v>10</v>
      </c>
      <c r="N357" s="172">
        <f>N358+N360</f>
        <v>220.5</v>
      </c>
      <c r="O357" s="178">
        <f t="shared" si="85"/>
        <v>220.5</v>
      </c>
      <c r="P357" s="92">
        <f t="shared" si="86"/>
        <v>0</v>
      </c>
    </row>
    <row r="358" spans="1:16" ht="18.75" x14ac:dyDescent="0.2">
      <c r="A358" s="42"/>
      <c r="B358" s="168" t="s">
        <v>370</v>
      </c>
      <c r="C358" s="169" t="s">
        <v>371</v>
      </c>
      <c r="D358" s="170" t="s">
        <v>26</v>
      </c>
      <c r="E358" s="171"/>
      <c r="F358" s="172">
        <f>F359</f>
        <v>10.5</v>
      </c>
      <c r="G358" s="172">
        <f>G359</f>
        <v>10</v>
      </c>
      <c r="H358" s="172">
        <f>H359</f>
        <v>20.5</v>
      </c>
      <c r="I358" s="188">
        <f>I359</f>
        <v>0</v>
      </c>
      <c r="J358" s="189"/>
      <c r="K358" s="188">
        <f>K359</f>
        <v>0</v>
      </c>
      <c r="L358" s="172">
        <f>L359</f>
        <v>10.5</v>
      </c>
      <c r="M358" s="172">
        <f>M359</f>
        <v>10</v>
      </c>
      <c r="N358" s="172">
        <f>N359</f>
        <v>20.5</v>
      </c>
      <c r="O358" s="178">
        <f t="shared" si="85"/>
        <v>20.5</v>
      </c>
      <c r="P358" s="92">
        <f t="shared" si="86"/>
        <v>0</v>
      </c>
    </row>
    <row r="359" spans="1:16" ht="22.15" customHeight="1" x14ac:dyDescent="0.2">
      <c r="A359" s="42"/>
      <c r="B359" s="168" t="s">
        <v>372</v>
      </c>
      <c r="C359" s="169" t="s">
        <v>371</v>
      </c>
      <c r="D359" s="170" t="s">
        <v>373</v>
      </c>
      <c r="E359" s="171"/>
      <c r="F359" s="172">
        <v>10.5</v>
      </c>
      <c r="G359" s="172">
        <v>10</v>
      </c>
      <c r="H359" s="172">
        <f>10.5+G359</f>
        <v>20.5</v>
      </c>
      <c r="I359" s="188">
        <v>0</v>
      </c>
      <c r="J359" s="189"/>
      <c r="K359" s="188">
        <v>0</v>
      </c>
      <c r="L359" s="172">
        <f>SUM(F359)</f>
        <v>10.5</v>
      </c>
      <c r="M359" s="172">
        <f>SUM(G359)</f>
        <v>10</v>
      </c>
      <c r="N359" s="172">
        <f>SUM(H359)</f>
        <v>20.5</v>
      </c>
      <c r="O359" s="178">
        <f t="shared" si="85"/>
        <v>20.5</v>
      </c>
      <c r="P359" s="92">
        <f t="shared" si="86"/>
        <v>0</v>
      </c>
    </row>
    <row r="360" spans="1:16" ht="31.5" x14ac:dyDescent="0.2">
      <c r="A360" s="42"/>
      <c r="B360" s="168" t="s">
        <v>374</v>
      </c>
      <c r="C360" s="169" t="s">
        <v>375</v>
      </c>
      <c r="D360" s="170" t="s">
        <v>26</v>
      </c>
      <c r="E360" s="171"/>
      <c r="F360" s="172">
        <f>F361</f>
        <v>200</v>
      </c>
      <c r="G360" s="172">
        <f>G361</f>
        <v>0</v>
      </c>
      <c r="H360" s="172">
        <f>H361</f>
        <v>200</v>
      </c>
      <c r="I360" s="188">
        <f>I361</f>
        <v>0</v>
      </c>
      <c r="J360" s="189"/>
      <c r="K360" s="188">
        <f>K361</f>
        <v>0</v>
      </c>
      <c r="L360" s="172">
        <f>L361</f>
        <v>200</v>
      </c>
      <c r="M360" s="172">
        <f>M361</f>
        <v>0</v>
      </c>
      <c r="N360" s="172">
        <f>N361</f>
        <v>200</v>
      </c>
      <c r="O360" s="178">
        <f t="shared" si="85"/>
        <v>200</v>
      </c>
      <c r="P360" s="92">
        <f t="shared" si="86"/>
        <v>0</v>
      </c>
    </row>
    <row r="361" spans="1:16" ht="31.5" x14ac:dyDescent="0.2">
      <c r="A361" s="42"/>
      <c r="B361" s="168" t="s">
        <v>35</v>
      </c>
      <c r="C361" s="169" t="s">
        <v>375</v>
      </c>
      <c r="D361" s="170" t="s">
        <v>36</v>
      </c>
      <c r="E361" s="171"/>
      <c r="F361" s="172">
        <v>200</v>
      </c>
      <c r="G361" s="172"/>
      <c r="H361" s="172">
        <f>200+G361</f>
        <v>200</v>
      </c>
      <c r="I361" s="188">
        <v>0</v>
      </c>
      <c r="J361" s="189"/>
      <c r="K361" s="188">
        <v>0</v>
      </c>
      <c r="L361" s="172">
        <v>200</v>
      </c>
      <c r="M361" s="172">
        <f>SUM(G361)</f>
        <v>0</v>
      </c>
      <c r="N361" s="172">
        <f>200+M361</f>
        <v>200</v>
      </c>
      <c r="O361" s="178">
        <f t="shared" si="85"/>
        <v>200</v>
      </c>
      <c r="P361" s="92">
        <f t="shared" si="86"/>
        <v>0</v>
      </c>
    </row>
    <row r="362" spans="1:16" ht="31.5" x14ac:dyDescent="0.2">
      <c r="A362" s="49"/>
      <c r="B362" s="190" t="s">
        <v>376</v>
      </c>
      <c r="C362" s="191" t="s">
        <v>377</v>
      </c>
      <c r="D362" s="192" t="s">
        <v>26</v>
      </c>
      <c r="E362" s="193"/>
      <c r="F362" s="277">
        <f>F363+F367+F370</f>
        <v>24798.1</v>
      </c>
      <c r="G362" s="195">
        <f t="shared" ref="G362:N362" si="91">G363+G367+G370</f>
        <v>0</v>
      </c>
      <c r="H362" s="195">
        <f t="shared" si="91"/>
        <v>24798.1</v>
      </c>
      <c r="I362" s="195">
        <f t="shared" si="91"/>
        <v>0</v>
      </c>
      <c r="J362" s="195">
        <f t="shared" si="91"/>
        <v>0</v>
      </c>
      <c r="K362" s="195">
        <f t="shared" si="91"/>
        <v>0</v>
      </c>
      <c r="L362" s="195">
        <f t="shared" si="91"/>
        <v>24798.1</v>
      </c>
      <c r="M362" s="195">
        <f t="shared" si="91"/>
        <v>0</v>
      </c>
      <c r="N362" s="196">
        <f t="shared" si="91"/>
        <v>24798.1</v>
      </c>
      <c r="O362" s="178">
        <f t="shared" si="85"/>
        <v>24798.1</v>
      </c>
      <c r="P362" s="92">
        <f t="shared" si="86"/>
        <v>0</v>
      </c>
    </row>
    <row r="363" spans="1:16" ht="37.9" customHeight="1" x14ac:dyDescent="0.2">
      <c r="A363" s="42"/>
      <c r="B363" s="168" t="s">
        <v>378</v>
      </c>
      <c r="C363" s="169" t="s">
        <v>379</v>
      </c>
      <c r="D363" s="170" t="s">
        <v>26</v>
      </c>
      <c r="E363" s="171"/>
      <c r="F363" s="172">
        <f>F364</f>
        <v>3784.2</v>
      </c>
      <c r="G363" s="172">
        <f>G364</f>
        <v>0</v>
      </c>
      <c r="H363" s="172">
        <f>H364</f>
        <v>3784.2</v>
      </c>
      <c r="I363" s="188">
        <f>I364</f>
        <v>0</v>
      </c>
      <c r="J363" s="189"/>
      <c r="K363" s="188">
        <f>K364</f>
        <v>0</v>
      </c>
      <c r="L363" s="172">
        <f>L364</f>
        <v>3784.2</v>
      </c>
      <c r="M363" s="172">
        <f>M364</f>
        <v>0</v>
      </c>
      <c r="N363" s="172">
        <f>N364</f>
        <v>3784.2</v>
      </c>
      <c r="O363" s="178">
        <f t="shared" si="85"/>
        <v>3784.2</v>
      </c>
      <c r="P363" s="92">
        <f t="shared" si="86"/>
        <v>0</v>
      </c>
    </row>
    <row r="364" spans="1:16" ht="31.5" x14ac:dyDescent="0.2">
      <c r="A364" s="42"/>
      <c r="B364" s="168" t="s">
        <v>93</v>
      </c>
      <c r="C364" s="169" t="s">
        <v>380</v>
      </c>
      <c r="D364" s="170" t="s">
        <v>26</v>
      </c>
      <c r="E364" s="171"/>
      <c r="F364" s="172">
        <f>F365+F366</f>
        <v>3784.2</v>
      </c>
      <c r="G364" s="172">
        <f>G365+G366</f>
        <v>0</v>
      </c>
      <c r="H364" s="172">
        <f>H365+H366</f>
        <v>3784.2</v>
      </c>
      <c r="I364" s="188">
        <f>I365+I366</f>
        <v>0</v>
      </c>
      <c r="J364" s="189"/>
      <c r="K364" s="188">
        <f>K365+K366</f>
        <v>0</v>
      </c>
      <c r="L364" s="172">
        <f>L365+L366</f>
        <v>3784.2</v>
      </c>
      <c r="M364" s="172">
        <f>M365+M366</f>
        <v>0</v>
      </c>
      <c r="N364" s="172">
        <f>N365+N366</f>
        <v>3784.2</v>
      </c>
      <c r="O364" s="178">
        <f t="shared" si="85"/>
        <v>3784.2</v>
      </c>
      <c r="P364" s="92">
        <f t="shared" si="86"/>
        <v>0</v>
      </c>
    </row>
    <row r="365" spans="1:16" ht="64.900000000000006" customHeight="1" x14ac:dyDescent="0.2">
      <c r="A365" s="42"/>
      <c r="B365" s="168" t="s">
        <v>31</v>
      </c>
      <c r="C365" s="169" t="s">
        <v>380</v>
      </c>
      <c r="D365" s="170" t="s">
        <v>32</v>
      </c>
      <c r="E365" s="171"/>
      <c r="F365" s="172">
        <v>3766.6</v>
      </c>
      <c r="G365" s="172">
        <v>-0.5</v>
      </c>
      <c r="H365" s="172">
        <f>F365+G365</f>
        <v>3766.1</v>
      </c>
      <c r="I365" s="188">
        <v>0</v>
      </c>
      <c r="J365" s="189"/>
      <c r="K365" s="188">
        <v>0</v>
      </c>
      <c r="L365" s="172">
        <f t="shared" ref="L365:N366" si="92">SUM(F365)</f>
        <v>3766.6</v>
      </c>
      <c r="M365" s="172">
        <f t="shared" si="92"/>
        <v>-0.5</v>
      </c>
      <c r="N365" s="172">
        <f t="shared" si="92"/>
        <v>3766.1</v>
      </c>
      <c r="O365" s="178">
        <f t="shared" si="85"/>
        <v>3766.1</v>
      </c>
      <c r="P365" s="92">
        <f t="shared" si="86"/>
        <v>0</v>
      </c>
    </row>
    <row r="366" spans="1:16" ht="31.5" x14ac:dyDescent="0.2">
      <c r="A366" s="42"/>
      <c r="B366" s="168" t="s">
        <v>35</v>
      </c>
      <c r="C366" s="169" t="s">
        <v>380</v>
      </c>
      <c r="D366" s="170" t="s">
        <v>36</v>
      </c>
      <c r="E366" s="171"/>
      <c r="F366" s="172">
        <v>17.600000000000001</v>
      </c>
      <c r="G366" s="215">
        <v>0.5</v>
      </c>
      <c r="H366" s="172">
        <f>F366+G366</f>
        <v>18.100000000000001</v>
      </c>
      <c r="I366" s="188">
        <v>0</v>
      </c>
      <c r="J366" s="189"/>
      <c r="K366" s="188">
        <v>0</v>
      </c>
      <c r="L366" s="172">
        <f t="shared" si="92"/>
        <v>17.600000000000001</v>
      </c>
      <c r="M366" s="172">
        <f t="shared" si="92"/>
        <v>0.5</v>
      </c>
      <c r="N366" s="172">
        <f t="shared" si="92"/>
        <v>18.100000000000001</v>
      </c>
      <c r="O366" s="178">
        <f t="shared" si="85"/>
        <v>18.100000000000001</v>
      </c>
      <c r="P366" s="92">
        <f t="shared" si="86"/>
        <v>0</v>
      </c>
    </row>
    <row r="367" spans="1:16" ht="47.25" x14ac:dyDescent="0.2">
      <c r="A367" s="42"/>
      <c r="B367" s="168" t="s">
        <v>381</v>
      </c>
      <c r="C367" s="169" t="s">
        <v>382</v>
      </c>
      <c r="D367" s="170" t="s">
        <v>26</v>
      </c>
      <c r="E367" s="171"/>
      <c r="F367" s="172">
        <f t="shared" ref="F367:N368" si="93">F368</f>
        <v>11636.5</v>
      </c>
      <c r="G367" s="172">
        <f t="shared" si="93"/>
        <v>0</v>
      </c>
      <c r="H367" s="172">
        <f t="shared" si="93"/>
        <v>11636.5</v>
      </c>
      <c r="I367" s="188">
        <f t="shared" si="93"/>
        <v>0</v>
      </c>
      <c r="J367" s="189"/>
      <c r="K367" s="188">
        <f t="shared" si="93"/>
        <v>0</v>
      </c>
      <c r="L367" s="172">
        <f t="shared" si="93"/>
        <v>11636.5</v>
      </c>
      <c r="M367" s="172">
        <f t="shared" si="93"/>
        <v>0</v>
      </c>
      <c r="N367" s="172">
        <f t="shared" si="93"/>
        <v>11636.5</v>
      </c>
      <c r="O367" s="178">
        <f t="shared" si="85"/>
        <v>11636.5</v>
      </c>
      <c r="P367" s="92">
        <f t="shared" si="86"/>
        <v>0</v>
      </c>
    </row>
    <row r="368" spans="1:16" ht="31.5" x14ac:dyDescent="0.2">
      <c r="A368" s="42"/>
      <c r="B368" s="168" t="s">
        <v>39</v>
      </c>
      <c r="C368" s="169" t="s">
        <v>383</v>
      </c>
      <c r="D368" s="170" t="s">
        <v>26</v>
      </c>
      <c r="E368" s="171"/>
      <c r="F368" s="172">
        <f t="shared" si="93"/>
        <v>11636.5</v>
      </c>
      <c r="G368" s="172">
        <f t="shared" si="93"/>
        <v>0</v>
      </c>
      <c r="H368" s="172">
        <f t="shared" si="93"/>
        <v>11636.5</v>
      </c>
      <c r="I368" s="188">
        <f t="shared" si="93"/>
        <v>0</v>
      </c>
      <c r="J368" s="189"/>
      <c r="K368" s="188">
        <f t="shared" si="93"/>
        <v>0</v>
      </c>
      <c r="L368" s="172">
        <f t="shared" si="93"/>
        <v>11636.5</v>
      </c>
      <c r="M368" s="172">
        <f t="shared" si="93"/>
        <v>0</v>
      </c>
      <c r="N368" s="172">
        <f t="shared" si="93"/>
        <v>11636.5</v>
      </c>
      <c r="O368" s="178">
        <f t="shared" si="85"/>
        <v>11636.5</v>
      </c>
      <c r="P368" s="92">
        <f t="shared" si="86"/>
        <v>0</v>
      </c>
    </row>
    <row r="369" spans="1:16" ht="31.5" x14ac:dyDescent="0.2">
      <c r="A369" s="42"/>
      <c r="B369" s="168" t="s">
        <v>74</v>
      </c>
      <c r="C369" s="169" t="s">
        <v>383</v>
      </c>
      <c r="D369" s="170" t="s">
        <v>75</v>
      </c>
      <c r="E369" s="171"/>
      <c r="F369" s="172">
        <v>11636.5</v>
      </c>
      <c r="G369" s="172"/>
      <c r="H369" s="172">
        <f>SUM(F369)</f>
        <v>11636.5</v>
      </c>
      <c r="I369" s="188">
        <v>0</v>
      </c>
      <c r="J369" s="189"/>
      <c r="K369" s="188">
        <v>0</v>
      </c>
      <c r="L369" s="172">
        <f>SUM(F369)</f>
        <v>11636.5</v>
      </c>
      <c r="M369" s="172">
        <f>SUM(G369)</f>
        <v>0</v>
      </c>
      <c r="N369" s="172">
        <f>SUM(L369)</f>
        <v>11636.5</v>
      </c>
      <c r="O369" s="178">
        <f t="shared" si="85"/>
        <v>11636.5</v>
      </c>
      <c r="P369" s="92">
        <f t="shared" si="86"/>
        <v>0</v>
      </c>
    </row>
    <row r="370" spans="1:16" ht="36.6" customHeight="1" x14ac:dyDescent="0.2">
      <c r="A370" s="42"/>
      <c r="B370" s="168" t="s">
        <v>384</v>
      </c>
      <c r="C370" s="169" t="s">
        <v>385</v>
      </c>
      <c r="D370" s="170" t="s">
        <v>26</v>
      </c>
      <c r="E370" s="171"/>
      <c r="F370" s="188">
        <f>F371+F375</f>
        <v>9377.4</v>
      </c>
      <c r="G370" s="188">
        <f t="shared" ref="G370:N370" si="94">G371+G375</f>
        <v>0</v>
      </c>
      <c r="H370" s="188">
        <f t="shared" si="94"/>
        <v>9377.4</v>
      </c>
      <c r="I370" s="188">
        <f t="shared" si="94"/>
        <v>0</v>
      </c>
      <c r="J370" s="188">
        <f t="shared" si="94"/>
        <v>0</v>
      </c>
      <c r="K370" s="188">
        <f t="shared" si="94"/>
        <v>0</v>
      </c>
      <c r="L370" s="188">
        <f t="shared" si="94"/>
        <v>9377.4</v>
      </c>
      <c r="M370" s="188">
        <f t="shared" si="94"/>
        <v>0</v>
      </c>
      <c r="N370" s="188">
        <f t="shared" si="94"/>
        <v>9377.4</v>
      </c>
      <c r="O370" s="178">
        <f t="shared" si="85"/>
        <v>9377.4</v>
      </c>
      <c r="P370" s="92">
        <f t="shared" si="86"/>
        <v>0</v>
      </c>
    </row>
    <row r="371" spans="1:16" ht="36" customHeight="1" x14ac:dyDescent="0.2">
      <c r="A371" s="42"/>
      <c r="B371" s="168" t="s">
        <v>386</v>
      </c>
      <c r="C371" s="169" t="s">
        <v>387</v>
      </c>
      <c r="D371" s="170" t="s">
        <v>26</v>
      </c>
      <c r="E371" s="171"/>
      <c r="F371" s="172">
        <f>F372+F373</f>
        <v>1517.4</v>
      </c>
      <c r="G371" s="172">
        <f>G372+G373</f>
        <v>0</v>
      </c>
      <c r="H371" s="172">
        <f>H372+H373</f>
        <v>1517.4</v>
      </c>
      <c r="I371" s="188">
        <f>I372+I373</f>
        <v>0</v>
      </c>
      <c r="J371" s="189"/>
      <c r="K371" s="188">
        <f>K372+K373</f>
        <v>0</v>
      </c>
      <c r="L371" s="172">
        <f>L372+L373</f>
        <v>1517.4</v>
      </c>
      <c r="M371" s="172">
        <f>M372+M373</f>
        <v>0</v>
      </c>
      <c r="N371" s="172">
        <f>SUM(L371)+M371</f>
        <v>1517.4</v>
      </c>
      <c r="O371" s="178">
        <f t="shared" si="85"/>
        <v>1517.4</v>
      </c>
      <c r="P371" s="92">
        <f t="shared" si="86"/>
        <v>0</v>
      </c>
    </row>
    <row r="372" spans="1:16" ht="31.5" x14ac:dyDescent="0.2">
      <c r="A372" s="42"/>
      <c r="B372" s="168" t="s">
        <v>35</v>
      </c>
      <c r="C372" s="169" t="s">
        <v>387</v>
      </c>
      <c r="D372" s="170" t="s">
        <v>36</v>
      </c>
      <c r="E372" s="171"/>
      <c r="F372" s="172">
        <v>1517.4</v>
      </c>
      <c r="G372" s="172"/>
      <c r="H372" s="172">
        <f>SUM(F372)+G372</f>
        <v>1517.4</v>
      </c>
      <c r="I372" s="188">
        <v>0</v>
      </c>
      <c r="J372" s="189"/>
      <c r="K372" s="188">
        <v>0</v>
      </c>
      <c r="L372" s="172">
        <f>SUM(F372)</f>
        <v>1517.4</v>
      </c>
      <c r="M372" s="172">
        <f>SUM(G372)</f>
        <v>0</v>
      </c>
      <c r="N372" s="172">
        <f>SUM(H372)</f>
        <v>1517.4</v>
      </c>
      <c r="O372" s="178">
        <f t="shared" si="85"/>
        <v>1517.4</v>
      </c>
      <c r="P372" s="92">
        <f t="shared" si="86"/>
        <v>0</v>
      </c>
    </row>
    <row r="373" spans="1:16" ht="21.6" customHeight="1" x14ac:dyDescent="0.2">
      <c r="A373" s="42"/>
      <c r="B373" s="168" t="s">
        <v>41</v>
      </c>
      <c r="C373" s="169" t="s">
        <v>387</v>
      </c>
      <c r="D373" s="170" t="s">
        <v>42</v>
      </c>
      <c r="E373" s="171"/>
      <c r="F373" s="172">
        <v>0</v>
      </c>
      <c r="G373" s="172"/>
      <c r="H373" s="172"/>
      <c r="I373" s="188">
        <v>0</v>
      </c>
      <c r="J373" s="189"/>
      <c r="K373" s="188">
        <v>0</v>
      </c>
      <c r="L373" s="172"/>
      <c r="M373" s="172">
        <f>SUM(G373)</f>
        <v>0</v>
      </c>
      <c r="N373" s="172"/>
      <c r="O373" s="178">
        <f t="shared" si="85"/>
        <v>0</v>
      </c>
      <c r="P373" s="92">
        <f t="shared" si="86"/>
        <v>0</v>
      </c>
    </row>
    <row r="374" spans="1:16" ht="0.6" hidden="1" customHeight="1" x14ac:dyDescent="0.2">
      <c r="A374" s="42"/>
      <c r="B374" s="168" t="s">
        <v>490</v>
      </c>
      <c r="C374" s="169" t="s">
        <v>385</v>
      </c>
      <c r="D374" s="170"/>
      <c r="E374" s="171"/>
      <c r="F374" s="172"/>
      <c r="G374" s="172">
        <f>SUM(G376)</f>
        <v>0</v>
      </c>
      <c r="H374" s="172">
        <f>SUM(G374)</f>
        <v>0</v>
      </c>
      <c r="I374" s="188"/>
      <c r="J374" s="189"/>
      <c r="K374" s="188"/>
      <c r="L374" s="172"/>
      <c r="M374" s="172">
        <f>SUM(G374)</f>
        <v>0</v>
      </c>
      <c r="N374" s="172">
        <f>SUM(H374)</f>
        <v>0</v>
      </c>
      <c r="O374" s="178">
        <f t="shared" si="85"/>
        <v>0</v>
      </c>
      <c r="P374" s="92">
        <f t="shared" si="86"/>
        <v>0</v>
      </c>
    </row>
    <row r="375" spans="1:16" ht="47.25" x14ac:dyDescent="0.2">
      <c r="A375" s="42"/>
      <c r="B375" s="168" t="s">
        <v>492</v>
      </c>
      <c r="C375" s="169" t="s">
        <v>494</v>
      </c>
      <c r="D375" s="170"/>
      <c r="E375" s="171"/>
      <c r="F375" s="172">
        <v>7860</v>
      </c>
      <c r="G375" s="172">
        <f>SUM(G376)</f>
        <v>0</v>
      </c>
      <c r="H375" s="172">
        <f>SUM(F375)</f>
        <v>7860</v>
      </c>
      <c r="I375" s="188"/>
      <c r="J375" s="189"/>
      <c r="K375" s="188"/>
      <c r="L375" s="172">
        <f>SUM(F375)</f>
        <v>7860</v>
      </c>
      <c r="M375" s="172">
        <f>SUM(G375)</f>
        <v>0</v>
      </c>
      <c r="N375" s="172">
        <f>SUM(H375)</f>
        <v>7860</v>
      </c>
      <c r="O375" s="178">
        <f t="shared" si="85"/>
        <v>7860</v>
      </c>
      <c r="P375" s="92">
        <f t="shared" si="86"/>
        <v>0</v>
      </c>
    </row>
    <row r="376" spans="1:16" ht="31.5" x14ac:dyDescent="0.2">
      <c r="A376" s="42"/>
      <c r="B376" s="168" t="s">
        <v>131</v>
      </c>
      <c r="C376" s="169" t="s">
        <v>494</v>
      </c>
      <c r="D376" s="170" t="s">
        <v>132</v>
      </c>
      <c r="E376" s="171"/>
      <c r="F376" s="172">
        <v>7860</v>
      </c>
      <c r="G376" s="172"/>
      <c r="H376" s="172">
        <f>SUM(F376)</f>
        <v>7860</v>
      </c>
      <c r="I376" s="188"/>
      <c r="J376" s="189"/>
      <c r="K376" s="188"/>
      <c r="L376" s="172">
        <f>SUM(F376)</f>
        <v>7860</v>
      </c>
      <c r="M376" s="172">
        <f>SUM(G376)</f>
        <v>0</v>
      </c>
      <c r="N376" s="172">
        <f>SUM(H376)</f>
        <v>7860</v>
      </c>
      <c r="O376" s="178">
        <f t="shared" si="85"/>
        <v>7860</v>
      </c>
      <c r="P376" s="92">
        <f t="shared" si="86"/>
        <v>0</v>
      </c>
    </row>
    <row r="377" spans="1:16" ht="18.75" x14ac:dyDescent="0.2">
      <c r="A377" s="19" t="s">
        <v>388</v>
      </c>
      <c r="B377" s="182" t="s">
        <v>389</v>
      </c>
      <c r="C377" s="183" t="s">
        <v>390</v>
      </c>
      <c r="D377" s="184" t="s">
        <v>26</v>
      </c>
      <c r="E377" s="185"/>
      <c r="F377" s="186">
        <f t="shared" ref="F377:N379" si="95">F378</f>
        <v>1383.6</v>
      </c>
      <c r="G377" s="186">
        <f t="shared" si="95"/>
        <v>0</v>
      </c>
      <c r="H377" s="186">
        <f t="shared" si="95"/>
        <v>1383.6</v>
      </c>
      <c r="I377" s="187">
        <f t="shared" si="95"/>
        <v>0</v>
      </c>
      <c r="J377" s="186">
        <f>J378</f>
        <v>0</v>
      </c>
      <c r="K377" s="187">
        <f t="shared" si="95"/>
        <v>0</v>
      </c>
      <c r="L377" s="186">
        <f t="shared" si="95"/>
        <v>1383.6</v>
      </c>
      <c r="M377" s="186">
        <f t="shared" si="95"/>
        <v>0</v>
      </c>
      <c r="N377" s="186">
        <f t="shared" si="95"/>
        <v>1383.6</v>
      </c>
      <c r="O377" s="178">
        <f t="shared" si="85"/>
        <v>1383.6</v>
      </c>
      <c r="P377" s="92">
        <f t="shared" si="86"/>
        <v>0</v>
      </c>
    </row>
    <row r="378" spans="1:16" ht="51.6" customHeight="1" x14ac:dyDescent="0.2">
      <c r="A378" s="42"/>
      <c r="B378" s="168" t="s">
        <v>391</v>
      </c>
      <c r="C378" s="169" t="s">
        <v>392</v>
      </c>
      <c r="D378" s="170" t="s">
        <v>26</v>
      </c>
      <c r="E378" s="171"/>
      <c r="F378" s="172">
        <f t="shared" si="95"/>
        <v>1383.6</v>
      </c>
      <c r="G378" s="172">
        <f t="shared" si="95"/>
        <v>0</v>
      </c>
      <c r="H378" s="172">
        <f t="shared" si="95"/>
        <v>1383.6</v>
      </c>
      <c r="I378" s="188">
        <f t="shared" si="95"/>
        <v>0</v>
      </c>
      <c r="J378" s="189"/>
      <c r="K378" s="188">
        <f t="shared" si="95"/>
        <v>0</v>
      </c>
      <c r="L378" s="172">
        <f t="shared" si="95"/>
        <v>1383.6</v>
      </c>
      <c r="M378" s="172">
        <f t="shared" si="95"/>
        <v>0</v>
      </c>
      <c r="N378" s="172">
        <f t="shared" si="95"/>
        <v>1383.6</v>
      </c>
      <c r="O378" s="178">
        <f t="shared" si="85"/>
        <v>1383.6</v>
      </c>
      <c r="P378" s="92">
        <f t="shared" si="86"/>
        <v>0</v>
      </c>
    </row>
    <row r="379" spans="1:16" ht="31.5" x14ac:dyDescent="0.2">
      <c r="A379" s="42"/>
      <c r="B379" s="168" t="s">
        <v>393</v>
      </c>
      <c r="C379" s="169" t="s">
        <v>394</v>
      </c>
      <c r="D379" s="170" t="s">
        <v>26</v>
      </c>
      <c r="E379" s="171"/>
      <c r="F379" s="172">
        <f t="shared" si="95"/>
        <v>1383.6</v>
      </c>
      <c r="G379" s="172">
        <f t="shared" si="95"/>
        <v>0</v>
      </c>
      <c r="H379" s="172">
        <f t="shared" si="95"/>
        <v>1383.6</v>
      </c>
      <c r="I379" s="188">
        <f t="shared" si="95"/>
        <v>0</v>
      </c>
      <c r="J379" s="189"/>
      <c r="K379" s="188">
        <f t="shared" si="95"/>
        <v>0</v>
      </c>
      <c r="L379" s="172">
        <f t="shared" si="95"/>
        <v>1383.6</v>
      </c>
      <c r="M379" s="172">
        <f t="shared" si="95"/>
        <v>0</v>
      </c>
      <c r="N379" s="172">
        <f t="shared" si="95"/>
        <v>1383.6</v>
      </c>
      <c r="O379" s="178">
        <f t="shared" si="85"/>
        <v>1383.6</v>
      </c>
      <c r="P379" s="92">
        <f t="shared" si="86"/>
        <v>0</v>
      </c>
    </row>
    <row r="380" spans="1:16" ht="31.5" x14ac:dyDescent="0.2">
      <c r="A380" s="42"/>
      <c r="B380" s="168" t="s">
        <v>35</v>
      </c>
      <c r="C380" s="169" t="s">
        <v>394</v>
      </c>
      <c r="D380" s="170" t="s">
        <v>36</v>
      </c>
      <c r="E380" s="171"/>
      <c r="F380" s="172">
        <v>1383.6</v>
      </c>
      <c r="G380" s="172"/>
      <c r="H380" s="172">
        <f>SUM(F380)+G380</f>
        <v>1383.6</v>
      </c>
      <c r="I380" s="188">
        <v>0</v>
      </c>
      <c r="J380" s="189"/>
      <c r="K380" s="188">
        <v>0</v>
      </c>
      <c r="L380" s="172">
        <f>SUM(F380)</f>
        <v>1383.6</v>
      </c>
      <c r="M380" s="172">
        <f>SUM(G380)</f>
        <v>0</v>
      </c>
      <c r="N380" s="172">
        <f>SUM(H380)</f>
        <v>1383.6</v>
      </c>
      <c r="O380" s="178">
        <f t="shared" si="85"/>
        <v>1383.6</v>
      </c>
      <c r="P380" s="92">
        <f t="shared" si="86"/>
        <v>0</v>
      </c>
    </row>
    <row r="381" spans="1:16" ht="49.15" customHeight="1" x14ac:dyDescent="0.2">
      <c r="A381" s="19" t="s">
        <v>395</v>
      </c>
      <c r="B381" s="182" t="s">
        <v>396</v>
      </c>
      <c r="C381" s="183" t="s">
        <v>397</v>
      </c>
      <c r="D381" s="184" t="s">
        <v>26</v>
      </c>
      <c r="E381" s="185"/>
      <c r="F381" s="186">
        <f t="shared" ref="F381:N383" si="96">F382</f>
        <v>1150.3</v>
      </c>
      <c r="G381" s="186">
        <f t="shared" si="96"/>
        <v>164.5</v>
      </c>
      <c r="H381" s="186">
        <f t="shared" si="96"/>
        <v>1314.8</v>
      </c>
      <c r="I381" s="187">
        <f t="shared" si="96"/>
        <v>0</v>
      </c>
      <c r="J381" s="186">
        <f>J382</f>
        <v>0</v>
      </c>
      <c r="K381" s="187">
        <f t="shared" si="96"/>
        <v>0</v>
      </c>
      <c r="L381" s="186">
        <f t="shared" si="96"/>
        <v>1150.3</v>
      </c>
      <c r="M381" s="186">
        <f t="shared" si="96"/>
        <v>164.5</v>
      </c>
      <c r="N381" s="186">
        <f t="shared" si="96"/>
        <v>1314.8</v>
      </c>
      <c r="O381" s="178">
        <f t="shared" si="85"/>
        <v>1314.8</v>
      </c>
      <c r="P381" s="92">
        <f t="shared" si="86"/>
        <v>0</v>
      </c>
    </row>
    <row r="382" spans="1:16" ht="30.6" customHeight="1" x14ac:dyDescent="0.2">
      <c r="A382" s="42"/>
      <c r="B382" s="168" t="s">
        <v>398</v>
      </c>
      <c r="C382" s="169" t="s">
        <v>399</v>
      </c>
      <c r="D382" s="170" t="s">
        <v>26</v>
      </c>
      <c r="E382" s="171"/>
      <c r="F382" s="172">
        <f>F383+F386</f>
        <v>1150.3</v>
      </c>
      <c r="G382" s="172">
        <f>G383+G386</f>
        <v>164.5</v>
      </c>
      <c r="H382" s="172">
        <f>H383+H386</f>
        <v>1314.8</v>
      </c>
      <c r="I382" s="188">
        <f t="shared" si="96"/>
        <v>0</v>
      </c>
      <c r="J382" s="189"/>
      <c r="K382" s="188">
        <f t="shared" si="96"/>
        <v>0</v>
      </c>
      <c r="L382" s="172">
        <f>SUM(F382)</f>
        <v>1150.3</v>
      </c>
      <c r="M382" s="172">
        <f>SUM(G382)</f>
        <v>164.5</v>
      </c>
      <c r="N382" s="172">
        <f>N383+N386</f>
        <v>1314.8</v>
      </c>
      <c r="O382" s="178">
        <f t="shared" si="85"/>
        <v>1314.8</v>
      </c>
      <c r="P382" s="92">
        <f t="shared" si="86"/>
        <v>0</v>
      </c>
    </row>
    <row r="383" spans="1:16" ht="49.15" customHeight="1" x14ac:dyDescent="0.2">
      <c r="A383" s="42"/>
      <c r="B383" s="168" t="s">
        <v>400</v>
      </c>
      <c r="C383" s="169" t="s">
        <v>401</v>
      </c>
      <c r="D383" s="170" t="s">
        <v>26</v>
      </c>
      <c r="E383" s="171"/>
      <c r="F383" s="172">
        <f>F384+F385</f>
        <v>385.4</v>
      </c>
      <c r="G383" s="172">
        <f>G384+G385</f>
        <v>164.5</v>
      </c>
      <c r="H383" s="172">
        <f>H384+H385</f>
        <v>549.9</v>
      </c>
      <c r="I383" s="188">
        <f t="shared" si="96"/>
        <v>0</v>
      </c>
      <c r="J383" s="189"/>
      <c r="K383" s="188">
        <f t="shared" si="96"/>
        <v>0</v>
      </c>
      <c r="L383" s="172">
        <f>L384+L385</f>
        <v>385.4</v>
      </c>
      <c r="M383" s="172">
        <f t="shared" si="96"/>
        <v>164.5</v>
      </c>
      <c r="N383" s="172">
        <f>N384+N385</f>
        <v>549.9</v>
      </c>
      <c r="O383" s="178">
        <f t="shared" si="85"/>
        <v>549.9</v>
      </c>
      <c r="P383" s="92">
        <f t="shared" si="86"/>
        <v>0</v>
      </c>
    </row>
    <row r="384" spans="1:16" ht="31.5" x14ac:dyDescent="0.2">
      <c r="A384" s="57"/>
      <c r="B384" s="216" t="s">
        <v>35</v>
      </c>
      <c r="C384" s="217" t="s">
        <v>401</v>
      </c>
      <c r="D384" s="170" t="s">
        <v>36</v>
      </c>
      <c r="E384" s="171"/>
      <c r="F384" s="172">
        <v>185.4</v>
      </c>
      <c r="G384" s="172">
        <v>164.5</v>
      </c>
      <c r="H384" s="172">
        <f>SUM(F384:G384)</f>
        <v>349.9</v>
      </c>
      <c r="I384" s="188">
        <v>0</v>
      </c>
      <c r="J384" s="189"/>
      <c r="K384" s="188">
        <v>0</v>
      </c>
      <c r="L384" s="172">
        <f t="shared" ref="L384:N387" si="97">SUM(F384)</f>
        <v>185.4</v>
      </c>
      <c r="M384" s="172">
        <f t="shared" si="97"/>
        <v>164.5</v>
      </c>
      <c r="N384" s="172">
        <f t="shared" si="97"/>
        <v>349.9</v>
      </c>
      <c r="O384" s="178">
        <f t="shared" si="85"/>
        <v>349.9</v>
      </c>
      <c r="P384" s="92">
        <f t="shared" si="86"/>
        <v>0</v>
      </c>
    </row>
    <row r="385" spans="1:16" ht="18.75" x14ac:dyDescent="0.2">
      <c r="A385" s="133"/>
      <c r="B385" s="168" t="s">
        <v>54</v>
      </c>
      <c r="C385" s="217" t="s">
        <v>401</v>
      </c>
      <c r="D385" s="170" t="s">
        <v>55</v>
      </c>
      <c r="E385" s="171"/>
      <c r="F385" s="172">
        <v>200</v>
      </c>
      <c r="G385" s="172"/>
      <c r="H385" s="172">
        <f>SUM(F385)</f>
        <v>200</v>
      </c>
      <c r="I385" s="189"/>
      <c r="J385" s="189"/>
      <c r="K385" s="189"/>
      <c r="L385" s="172">
        <f>SUM(F385)</f>
        <v>200</v>
      </c>
      <c r="M385" s="172">
        <f>SUM(G385)</f>
        <v>0</v>
      </c>
      <c r="N385" s="172">
        <f>SUM(H385)</f>
        <v>200</v>
      </c>
      <c r="O385" s="178">
        <f t="shared" si="85"/>
        <v>200</v>
      </c>
      <c r="P385" s="92">
        <f t="shared" si="86"/>
        <v>0</v>
      </c>
    </row>
    <row r="386" spans="1:16" ht="31.5" x14ac:dyDescent="0.2">
      <c r="A386" s="133"/>
      <c r="B386" s="197" t="s">
        <v>402</v>
      </c>
      <c r="C386" s="169" t="s">
        <v>403</v>
      </c>
      <c r="D386" s="170"/>
      <c r="E386" s="171"/>
      <c r="F386" s="219">
        <v>764.9</v>
      </c>
      <c r="G386" s="172"/>
      <c r="H386" s="172">
        <f>SUM(F386)+G386</f>
        <v>764.9</v>
      </c>
      <c r="I386" s="189"/>
      <c r="J386" s="189"/>
      <c r="K386" s="189"/>
      <c r="L386" s="172">
        <f t="shared" si="97"/>
        <v>764.9</v>
      </c>
      <c r="M386" s="172">
        <f t="shared" si="97"/>
        <v>0</v>
      </c>
      <c r="N386" s="172">
        <f t="shared" si="97"/>
        <v>764.9</v>
      </c>
      <c r="O386" s="178">
        <f t="shared" si="85"/>
        <v>764.9</v>
      </c>
      <c r="P386" s="92">
        <f t="shared" si="86"/>
        <v>0</v>
      </c>
    </row>
    <row r="387" spans="1:16" ht="32.25" thickBot="1" x14ac:dyDescent="0.25">
      <c r="A387" s="133"/>
      <c r="B387" s="216" t="s">
        <v>35</v>
      </c>
      <c r="C387" s="169" t="s">
        <v>403</v>
      </c>
      <c r="D387" s="218" t="s">
        <v>36</v>
      </c>
      <c r="E387" s="218"/>
      <c r="F387" s="219">
        <v>764.9</v>
      </c>
      <c r="G387" s="219"/>
      <c r="H387" s="219">
        <f>SUM(F387)+G387</f>
        <v>764.9</v>
      </c>
      <c r="I387" s="220"/>
      <c r="J387" s="220"/>
      <c r="K387" s="220"/>
      <c r="L387" s="219">
        <f t="shared" si="97"/>
        <v>764.9</v>
      </c>
      <c r="M387" s="219">
        <f t="shared" si="97"/>
        <v>0</v>
      </c>
      <c r="N387" s="219">
        <f t="shared" si="97"/>
        <v>764.9</v>
      </c>
      <c r="O387" s="178">
        <f t="shared" si="85"/>
        <v>764.9</v>
      </c>
      <c r="P387" s="92">
        <f t="shared" si="86"/>
        <v>0</v>
      </c>
    </row>
    <row r="388" spans="1:16" ht="16.5" customHeight="1" thickBot="1" x14ac:dyDescent="0.25">
      <c r="A388" s="26" t="s">
        <v>404</v>
      </c>
      <c r="B388" s="447" t="s">
        <v>405</v>
      </c>
      <c r="C388" s="448"/>
      <c r="D388" s="449"/>
      <c r="E388" s="270"/>
      <c r="F388" s="222">
        <f>F389+F393+F399+F415</f>
        <v>46156.800000000003</v>
      </c>
      <c r="G388" s="222">
        <f t="shared" ref="G388:N388" si="98">G389+G393+G399+G415</f>
        <v>478.6</v>
      </c>
      <c r="H388" s="222">
        <f>H389+H393+H399+H415</f>
        <v>46635.4</v>
      </c>
      <c r="I388" s="223">
        <f t="shared" si="98"/>
        <v>768.1</v>
      </c>
      <c r="J388" s="222">
        <f t="shared" si="98"/>
        <v>0</v>
      </c>
      <c r="K388" s="223">
        <f t="shared" si="98"/>
        <v>768.1</v>
      </c>
      <c r="L388" s="222">
        <f t="shared" si="98"/>
        <v>46924.9</v>
      </c>
      <c r="M388" s="222">
        <f t="shared" si="98"/>
        <v>478.6</v>
      </c>
      <c r="N388" s="279">
        <f t="shared" si="98"/>
        <v>47403.5</v>
      </c>
      <c r="O388" s="178">
        <f t="shared" si="85"/>
        <v>47403.5</v>
      </c>
      <c r="P388" s="92">
        <f t="shared" si="86"/>
        <v>0</v>
      </c>
    </row>
    <row r="389" spans="1:16" ht="31.5" x14ac:dyDescent="0.2">
      <c r="A389" s="16" t="s">
        <v>406</v>
      </c>
      <c r="B389" s="224" t="s">
        <v>407</v>
      </c>
      <c r="C389" s="225" t="s">
        <v>408</v>
      </c>
      <c r="D389" s="226" t="s">
        <v>26</v>
      </c>
      <c r="E389" s="227"/>
      <c r="F389" s="228">
        <f t="shared" ref="F389:N391" si="99">F390</f>
        <v>2268.1</v>
      </c>
      <c r="G389" s="228">
        <f t="shared" si="99"/>
        <v>0</v>
      </c>
      <c r="H389" s="228">
        <f t="shared" si="99"/>
        <v>2268.1</v>
      </c>
      <c r="I389" s="229">
        <f t="shared" si="99"/>
        <v>0</v>
      </c>
      <c r="J389" s="228">
        <f>J390</f>
        <v>0</v>
      </c>
      <c r="K389" s="229">
        <f t="shared" si="99"/>
        <v>0</v>
      </c>
      <c r="L389" s="228">
        <f t="shared" si="99"/>
        <v>2268.1</v>
      </c>
      <c r="M389" s="228">
        <f t="shared" si="99"/>
        <v>0</v>
      </c>
      <c r="N389" s="228">
        <f t="shared" si="99"/>
        <v>2268.1</v>
      </c>
      <c r="O389" s="178">
        <f t="shared" si="85"/>
        <v>2268.1</v>
      </c>
      <c r="P389" s="92">
        <f t="shared" si="86"/>
        <v>0</v>
      </c>
    </row>
    <row r="390" spans="1:16" ht="22.15" customHeight="1" x14ac:dyDescent="0.2">
      <c r="A390" s="49"/>
      <c r="B390" s="190" t="s">
        <v>409</v>
      </c>
      <c r="C390" s="191" t="s">
        <v>410</v>
      </c>
      <c r="D390" s="192" t="s">
        <v>26</v>
      </c>
      <c r="E390" s="193"/>
      <c r="F390" s="230">
        <f t="shared" si="99"/>
        <v>2268.1</v>
      </c>
      <c r="G390" s="230">
        <f t="shared" si="99"/>
        <v>0</v>
      </c>
      <c r="H390" s="230">
        <f t="shared" si="99"/>
        <v>2268.1</v>
      </c>
      <c r="I390" s="231">
        <f t="shared" si="99"/>
        <v>0</v>
      </c>
      <c r="J390" s="230">
        <f>J391</f>
        <v>0</v>
      </c>
      <c r="K390" s="231">
        <f t="shared" si="99"/>
        <v>0</v>
      </c>
      <c r="L390" s="230">
        <f t="shared" si="99"/>
        <v>2268.1</v>
      </c>
      <c r="M390" s="230">
        <f t="shared" si="99"/>
        <v>0</v>
      </c>
      <c r="N390" s="230">
        <f t="shared" si="99"/>
        <v>2268.1</v>
      </c>
      <c r="O390" s="178">
        <f t="shared" si="85"/>
        <v>2268.1</v>
      </c>
      <c r="P390" s="92">
        <f t="shared" si="86"/>
        <v>0</v>
      </c>
    </row>
    <row r="391" spans="1:16" ht="31.5" x14ac:dyDescent="0.2">
      <c r="A391" s="42"/>
      <c r="B391" s="168" t="s">
        <v>93</v>
      </c>
      <c r="C391" s="169" t="s">
        <v>411</v>
      </c>
      <c r="D391" s="170" t="s">
        <v>26</v>
      </c>
      <c r="E391" s="171"/>
      <c r="F391" s="232">
        <f t="shared" si="99"/>
        <v>2268.1</v>
      </c>
      <c r="G391" s="232">
        <f t="shared" si="99"/>
        <v>0</v>
      </c>
      <c r="H391" s="232">
        <f t="shared" si="99"/>
        <v>2268.1</v>
      </c>
      <c r="I391" s="233">
        <f t="shared" si="99"/>
        <v>0</v>
      </c>
      <c r="J391" s="234"/>
      <c r="K391" s="233">
        <f t="shared" si="99"/>
        <v>0</v>
      </c>
      <c r="L391" s="232">
        <f t="shared" si="99"/>
        <v>2268.1</v>
      </c>
      <c r="M391" s="232">
        <f t="shared" si="99"/>
        <v>0</v>
      </c>
      <c r="N391" s="232">
        <f t="shared" si="99"/>
        <v>2268.1</v>
      </c>
      <c r="O391" s="178">
        <f t="shared" si="85"/>
        <v>2268.1</v>
      </c>
      <c r="P391" s="92">
        <f t="shared" si="86"/>
        <v>0</v>
      </c>
    </row>
    <row r="392" spans="1:16" ht="69" customHeight="1" x14ac:dyDescent="0.2">
      <c r="A392" s="42"/>
      <c r="B392" s="168" t="s">
        <v>31</v>
      </c>
      <c r="C392" s="169" t="s">
        <v>411</v>
      </c>
      <c r="D392" s="170" t="s">
        <v>32</v>
      </c>
      <c r="E392" s="171"/>
      <c r="F392" s="232">
        <v>2268.1</v>
      </c>
      <c r="G392" s="232"/>
      <c r="H392" s="232">
        <f>SUM(F392)</f>
        <v>2268.1</v>
      </c>
      <c r="I392" s="233">
        <v>0</v>
      </c>
      <c r="J392" s="234"/>
      <c r="K392" s="233">
        <v>0</v>
      </c>
      <c r="L392" s="232">
        <f>SUM(F392)</f>
        <v>2268.1</v>
      </c>
      <c r="M392" s="232">
        <f>SUM(G392)</f>
        <v>0</v>
      </c>
      <c r="N392" s="232">
        <f>SUM(H392)</f>
        <v>2268.1</v>
      </c>
      <c r="O392" s="178">
        <f t="shared" si="85"/>
        <v>2268.1</v>
      </c>
      <c r="P392" s="92">
        <f t="shared" si="86"/>
        <v>0</v>
      </c>
    </row>
    <row r="393" spans="1:16" ht="31.5" x14ac:dyDescent="0.2">
      <c r="A393" s="19" t="s">
        <v>412</v>
      </c>
      <c r="B393" s="182" t="s">
        <v>413</v>
      </c>
      <c r="C393" s="183" t="s">
        <v>414</v>
      </c>
      <c r="D393" s="184" t="s">
        <v>26</v>
      </c>
      <c r="E393" s="185"/>
      <c r="F393" s="235">
        <f t="shared" ref="F393:N393" si="100">F394</f>
        <v>1601.8999999999999</v>
      </c>
      <c r="G393" s="235">
        <f t="shared" si="100"/>
        <v>0</v>
      </c>
      <c r="H393" s="235">
        <f t="shared" si="100"/>
        <v>1601.8999999999999</v>
      </c>
      <c r="I393" s="236">
        <f t="shared" si="100"/>
        <v>0</v>
      </c>
      <c r="J393" s="235">
        <f t="shared" si="100"/>
        <v>0</v>
      </c>
      <c r="K393" s="236">
        <f t="shared" si="100"/>
        <v>0</v>
      </c>
      <c r="L393" s="235">
        <f t="shared" si="100"/>
        <v>1601.8999999999999</v>
      </c>
      <c r="M393" s="235">
        <f t="shared" si="100"/>
        <v>0</v>
      </c>
      <c r="N393" s="235">
        <f t="shared" si="100"/>
        <v>1601.8999999999999</v>
      </c>
      <c r="O393" s="178">
        <f t="shared" si="85"/>
        <v>1601.8999999999999</v>
      </c>
      <c r="P393" s="92">
        <f t="shared" si="86"/>
        <v>0</v>
      </c>
    </row>
    <row r="394" spans="1:16" ht="31.5" x14ac:dyDescent="0.2">
      <c r="A394" s="49"/>
      <c r="B394" s="190" t="s">
        <v>415</v>
      </c>
      <c r="C394" s="191" t="s">
        <v>416</v>
      </c>
      <c r="D394" s="192" t="s">
        <v>26</v>
      </c>
      <c r="E394" s="193"/>
      <c r="F394" s="230">
        <f t="shared" ref="F394:N394" si="101">F395+F397</f>
        <v>1601.8999999999999</v>
      </c>
      <c r="G394" s="230">
        <f t="shared" si="101"/>
        <v>0</v>
      </c>
      <c r="H394" s="230">
        <f t="shared" si="101"/>
        <v>1601.8999999999999</v>
      </c>
      <c r="I394" s="231">
        <f t="shared" si="101"/>
        <v>0</v>
      </c>
      <c r="J394" s="230">
        <f t="shared" si="101"/>
        <v>0</v>
      </c>
      <c r="K394" s="231">
        <f t="shared" si="101"/>
        <v>0</v>
      </c>
      <c r="L394" s="230">
        <f t="shared" si="101"/>
        <v>1601.8999999999999</v>
      </c>
      <c r="M394" s="230">
        <f t="shared" si="101"/>
        <v>0</v>
      </c>
      <c r="N394" s="230">
        <f t="shared" si="101"/>
        <v>1601.8999999999999</v>
      </c>
      <c r="O394" s="178">
        <f t="shared" si="85"/>
        <v>1601.8999999999999</v>
      </c>
      <c r="P394" s="92">
        <f t="shared" si="86"/>
        <v>0</v>
      </c>
    </row>
    <row r="395" spans="1:16" ht="31.5" x14ac:dyDescent="0.2">
      <c r="A395" s="42"/>
      <c r="B395" s="168" t="s">
        <v>93</v>
      </c>
      <c r="C395" s="169" t="s">
        <v>417</v>
      </c>
      <c r="D395" s="170" t="s">
        <v>26</v>
      </c>
      <c r="E395" s="171"/>
      <c r="F395" s="232">
        <f>F396</f>
        <v>8.1</v>
      </c>
      <c r="G395" s="232">
        <f>G396</f>
        <v>0</v>
      </c>
      <c r="H395" s="232">
        <f>H396</f>
        <v>8.1</v>
      </c>
      <c r="I395" s="233">
        <f>I396</f>
        <v>0</v>
      </c>
      <c r="J395" s="234"/>
      <c r="K395" s="233">
        <f>K396</f>
        <v>0</v>
      </c>
      <c r="L395" s="232">
        <f>L396</f>
        <v>8.1</v>
      </c>
      <c r="M395" s="232">
        <f>M396</f>
        <v>0</v>
      </c>
      <c r="N395" s="232">
        <f>N396</f>
        <v>8.1</v>
      </c>
      <c r="O395" s="178">
        <f t="shared" si="85"/>
        <v>8.1</v>
      </c>
      <c r="P395" s="92">
        <f t="shared" si="86"/>
        <v>0</v>
      </c>
    </row>
    <row r="396" spans="1:16" ht="31.5" x14ac:dyDescent="0.2">
      <c r="A396" s="42"/>
      <c r="B396" s="168" t="s">
        <v>35</v>
      </c>
      <c r="C396" s="169" t="s">
        <v>417</v>
      </c>
      <c r="D396" s="170" t="s">
        <v>36</v>
      </c>
      <c r="E396" s="171"/>
      <c r="F396" s="232">
        <f>8+0.1</f>
        <v>8.1</v>
      </c>
      <c r="G396" s="232"/>
      <c r="H396" s="232">
        <f>8+0.1</f>
        <v>8.1</v>
      </c>
      <c r="I396" s="233">
        <v>0</v>
      </c>
      <c r="J396" s="234"/>
      <c r="K396" s="233">
        <v>0</v>
      </c>
      <c r="L396" s="232">
        <f>8+0.1</f>
        <v>8.1</v>
      </c>
      <c r="M396" s="232"/>
      <c r="N396" s="232">
        <f>8+0.1</f>
        <v>8.1</v>
      </c>
      <c r="O396" s="178">
        <f t="shared" si="85"/>
        <v>8.1</v>
      </c>
      <c r="P396" s="92">
        <f t="shared" si="86"/>
        <v>0</v>
      </c>
    </row>
    <row r="397" spans="1:16" ht="50.45" customHeight="1" x14ac:dyDescent="0.2">
      <c r="A397" s="42"/>
      <c r="B397" s="168" t="s">
        <v>418</v>
      </c>
      <c r="C397" s="169" t="s">
        <v>419</v>
      </c>
      <c r="D397" s="170" t="s">
        <v>26</v>
      </c>
      <c r="E397" s="171"/>
      <c r="F397" s="232">
        <f>F398</f>
        <v>1593.8</v>
      </c>
      <c r="G397" s="232">
        <f>G398</f>
        <v>0</v>
      </c>
      <c r="H397" s="232">
        <f>H398</f>
        <v>1593.8</v>
      </c>
      <c r="I397" s="233">
        <f>I398</f>
        <v>0</v>
      </c>
      <c r="J397" s="234"/>
      <c r="K397" s="233">
        <f>K398</f>
        <v>0</v>
      </c>
      <c r="L397" s="232">
        <f>L398</f>
        <v>1593.8</v>
      </c>
      <c r="M397" s="232">
        <f>M398</f>
        <v>0</v>
      </c>
      <c r="N397" s="232">
        <f>N398</f>
        <v>1593.8</v>
      </c>
      <c r="O397" s="178">
        <f t="shared" si="85"/>
        <v>1593.8</v>
      </c>
      <c r="P397" s="92">
        <f t="shared" si="86"/>
        <v>0</v>
      </c>
    </row>
    <row r="398" spans="1:16" ht="18.75" x14ac:dyDescent="0.2">
      <c r="A398" s="42"/>
      <c r="B398" s="168" t="s">
        <v>278</v>
      </c>
      <c r="C398" s="169" t="s">
        <v>419</v>
      </c>
      <c r="D398" s="170" t="s">
        <v>279</v>
      </c>
      <c r="E398" s="171"/>
      <c r="F398" s="232">
        <v>1593.8</v>
      </c>
      <c r="G398" s="232"/>
      <c r="H398" s="232">
        <f>SUM(F398)</f>
        <v>1593.8</v>
      </c>
      <c r="I398" s="233">
        <v>0</v>
      </c>
      <c r="J398" s="234"/>
      <c r="K398" s="233">
        <v>0</v>
      </c>
      <c r="L398" s="232">
        <f>SUM(F398)</f>
        <v>1593.8</v>
      </c>
      <c r="M398" s="232">
        <f>SUM(G398)</f>
        <v>0</v>
      </c>
      <c r="N398" s="232">
        <f>SUM(H398)</f>
        <v>1593.8</v>
      </c>
      <c r="O398" s="178">
        <f t="shared" si="85"/>
        <v>1593.8</v>
      </c>
      <c r="P398" s="92">
        <f t="shared" si="86"/>
        <v>0</v>
      </c>
    </row>
    <row r="399" spans="1:16" ht="31.5" x14ac:dyDescent="0.2">
      <c r="A399" s="19" t="s">
        <v>420</v>
      </c>
      <c r="B399" s="182" t="s">
        <v>421</v>
      </c>
      <c r="C399" s="183" t="s">
        <v>422</v>
      </c>
      <c r="D399" s="184" t="s">
        <v>26</v>
      </c>
      <c r="E399" s="185"/>
      <c r="F399" s="235">
        <f t="shared" ref="F399:N399" si="102">F400+F405+F411</f>
        <v>41421.5</v>
      </c>
      <c r="G399" s="235">
        <f t="shared" si="102"/>
        <v>0</v>
      </c>
      <c r="H399" s="235">
        <f t="shared" si="102"/>
        <v>41421.5</v>
      </c>
      <c r="I399" s="236">
        <f t="shared" si="102"/>
        <v>768.1</v>
      </c>
      <c r="J399" s="235">
        <f t="shared" si="102"/>
        <v>0</v>
      </c>
      <c r="K399" s="236">
        <f t="shared" si="102"/>
        <v>768.1</v>
      </c>
      <c r="L399" s="235">
        <f t="shared" si="102"/>
        <v>42189.599999999999</v>
      </c>
      <c r="M399" s="235">
        <f t="shared" si="102"/>
        <v>0</v>
      </c>
      <c r="N399" s="235">
        <f t="shared" si="102"/>
        <v>42189.599999999999</v>
      </c>
      <c r="O399" s="178">
        <f t="shared" si="85"/>
        <v>42189.599999999999</v>
      </c>
      <c r="P399" s="92">
        <f t="shared" si="86"/>
        <v>0</v>
      </c>
    </row>
    <row r="400" spans="1:16" ht="31.5" x14ac:dyDescent="0.2">
      <c r="A400" s="49"/>
      <c r="B400" s="190" t="s">
        <v>423</v>
      </c>
      <c r="C400" s="191" t="s">
        <v>424</v>
      </c>
      <c r="D400" s="192" t="s">
        <v>26</v>
      </c>
      <c r="E400" s="193"/>
      <c r="F400" s="230">
        <f t="shared" ref="F400:N400" si="103">F401</f>
        <v>35728.5</v>
      </c>
      <c r="G400" s="230">
        <f t="shared" si="103"/>
        <v>0</v>
      </c>
      <c r="H400" s="230">
        <f t="shared" si="103"/>
        <v>35728.5</v>
      </c>
      <c r="I400" s="231">
        <f t="shared" si="103"/>
        <v>0</v>
      </c>
      <c r="J400" s="230">
        <f t="shared" si="103"/>
        <v>0</v>
      </c>
      <c r="K400" s="231">
        <f t="shared" si="103"/>
        <v>0</v>
      </c>
      <c r="L400" s="230">
        <f t="shared" si="103"/>
        <v>35728.5</v>
      </c>
      <c r="M400" s="230">
        <f t="shared" si="103"/>
        <v>0</v>
      </c>
      <c r="N400" s="230">
        <f t="shared" si="103"/>
        <v>35728.5</v>
      </c>
      <c r="O400" s="178">
        <f t="shared" si="85"/>
        <v>35728.5</v>
      </c>
      <c r="P400" s="92">
        <f t="shared" si="86"/>
        <v>0</v>
      </c>
    </row>
    <row r="401" spans="1:16" ht="31.5" x14ac:dyDescent="0.2">
      <c r="A401" s="42"/>
      <c r="B401" s="168" t="s">
        <v>93</v>
      </c>
      <c r="C401" s="169" t="s">
        <v>425</v>
      </c>
      <c r="D401" s="170" t="s">
        <v>26</v>
      </c>
      <c r="E401" s="171"/>
      <c r="F401" s="232">
        <f>F402+F403+F404</f>
        <v>35728.5</v>
      </c>
      <c r="G401" s="232">
        <f>G402+G403+G404</f>
        <v>0</v>
      </c>
      <c r="H401" s="232">
        <f>H402+H403+H404</f>
        <v>35728.5</v>
      </c>
      <c r="I401" s="233">
        <f>I402+I403+I404</f>
        <v>0</v>
      </c>
      <c r="J401" s="234"/>
      <c r="K401" s="233">
        <f>K402+K403+K404</f>
        <v>0</v>
      </c>
      <c r="L401" s="232">
        <f>L402+L403+L404</f>
        <v>35728.5</v>
      </c>
      <c r="M401" s="232">
        <f>M402+M403+M404</f>
        <v>0</v>
      </c>
      <c r="N401" s="232">
        <f>N402+N403+N404</f>
        <v>35728.5</v>
      </c>
      <c r="O401" s="178">
        <f t="shared" ref="O401:O453" si="104">L401+M401</f>
        <v>35728.5</v>
      </c>
      <c r="P401" s="92">
        <f t="shared" ref="P401:P453" si="105">O401-N401</f>
        <v>0</v>
      </c>
    </row>
    <row r="402" spans="1:16" ht="70.150000000000006" customHeight="1" x14ac:dyDescent="0.2">
      <c r="A402" s="42"/>
      <c r="B402" s="168" t="s">
        <v>31</v>
      </c>
      <c r="C402" s="169" t="s">
        <v>425</v>
      </c>
      <c r="D402" s="170" t="s">
        <v>32</v>
      </c>
      <c r="E402" s="171"/>
      <c r="F402" s="232">
        <v>35427.800000000003</v>
      </c>
      <c r="G402" s="232"/>
      <c r="H402" s="232">
        <f>SUM(F402)+G402</f>
        <v>35427.800000000003</v>
      </c>
      <c r="I402" s="233">
        <v>0</v>
      </c>
      <c r="J402" s="234"/>
      <c r="K402" s="233">
        <v>0</v>
      </c>
      <c r="L402" s="232">
        <f t="shared" ref="L402:M404" si="106">SUM(F402)</f>
        <v>35427.800000000003</v>
      </c>
      <c r="M402" s="232">
        <f t="shared" si="106"/>
        <v>0</v>
      </c>
      <c r="N402" s="232">
        <f>SUM(M402)+L402</f>
        <v>35427.800000000003</v>
      </c>
      <c r="O402" s="178">
        <f t="shared" si="104"/>
        <v>35427.800000000003</v>
      </c>
      <c r="P402" s="92">
        <f t="shared" si="105"/>
        <v>0</v>
      </c>
    </row>
    <row r="403" spans="1:16" ht="31.5" x14ac:dyDescent="0.2">
      <c r="A403" s="42"/>
      <c r="B403" s="168" t="s">
        <v>35</v>
      </c>
      <c r="C403" s="169" t="s">
        <v>425</v>
      </c>
      <c r="D403" s="170" t="s">
        <v>36</v>
      </c>
      <c r="E403" s="171"/>
      <c r="F403" s="232">
        <v>260.7</v>
      </c>
      <c r="G403" s="232"/>
      <c r="H403" s="232">
        <v>260.7</v>
      </c>
      <c r="I403" s="233">
        <v>0</v>
      </c>
      <c r="J403" s="234"/>
      <c r="K403" s="233">
        <v>0</v>
      </c>
      <c r="L403" s="232">
        <f t="shared" si="106"/>
        <v>260.7</v>
      </c>
      <c r="M403" s="232">
        <f t="shared" si="106"/>
        <v>0</v>
      </c>
      <c r="N403" s="232">
        <f>SUM(H403)</f>
        <v>260.7</v>
      </c>
      <c r="O403" s="178">
        <f t="shared" si="104"/>
        <v>260.7</v>
      </c>
      <c r="P403" s="92">
        <f t="shared" si="105"/>
        <v>0</v>
      </c>
    </row>
    <row r="404" spans="1:16" ht="18.75" x14ac:dyDescent="0.2">
      <c r="A404" s="42"/>
      <c r="B404" s="168" t="s">
        <v>41</v>
      </c>
      <c r="C404" s="169" t="s">
        <v>425</v>
      </c>
      <c r="D404" s="170" t="s">
        <v>42</v>
      </c>
      <c r="E404" s="171"/>
      <c r="F404" s="232">
        <v>40</v>
      </c>
      <c r="G404" s="232"/>
      <c r="H404" s="232">
        <f>SUM(F404)+G404</f>
        <v>40</v>
      </c>
      <c r="I404" s="233">
        <v>0</v>
      </c>
      <c r="J404" s="234"/>
      <c r="K404" s="233">
        <v>0</v>
      </c>
      <c r="L404" s="232">
        <f t="shared" si="106"/>
        <v>40</v>
      </c>
      <c r="M404" s="232">
        <f t="shared" si="106"/>
        <v>0</v>
      </c>
      <c r="N404" s="232">
        <f>SUM(H404)</f>
        <v>40</v>
      </c>
      <c r="O404" s="178">
        <f t="shared" si="104"/>
        <v>40</v>
      </c>
      <c r="P404" s="92">
        <f t="shared" si="105"/>
        <v>0</v>
      </c>
    </row>
    <row r="405" spans="1:16" ht="21.6" customHeight="1" x14ac:dyDescent="0.2">
      <c r="A405" s="49"/>
      <c r="B405" s="190" t="s">
        <v>426</v>
      </c>
      <c r="C405" s="191" t="s">
        <v>427</v>
      </c>
      <c r="D405" s="192" t="s">
        <v>26</v>
      </c>
      <c r="E405" s="193"/>
      <c r="F405" s="230">
        <f>F409</f>
        <v>0</v>
      </c>
      <c r="G405" s="230">
        <f>G409</f>
        <v>0</v>
      </c>
      <c r="H405" s="230">
        <f>H409</f>
        <v>0</v>
      </c>
      <c r="I405" s="231">
        <f>I409+I406</f>
        <v>768.1</v>
      </c>
      <c r="J405" s="278"/>
      <c r="K405" s="231">
        <f>K409+K406</f>
        <v>768.1</v>
      </c>
      <c r="L405" s="231">
        <f>L409+L406</f>
        <v>768.1</v>
      </c>
      <c r="M405" s="230">
        <f>M409</f>
        <v>0</v>
      </c>
      <c r="N405" s="231">
        <f>N409+N406</f>
        <v>768.1</v>
      </c>
      <c r="O405" s="178">
        <f t="shared" si="104"/>
        <v>768.1</v>
      </c>
      <c r="P405" s="92">
        <f t="shared" si="105"/>
        <v>0</v>
      </c>
    </row>
    <row r="406" spans="1:16" ht="125.45" customHeight="1" x14ac:dyDescent="0.2">
      <c r="A406" s="49"/>
      <c r="B406" s="237" t="s">
        <v>428</v>
      </c>
      <c r="C406" s="169" t="s">
        <v>429</v>
      </c>
      <c r="D406" s="170"/>
      <c r="E406" s="171"/>
      <c r="F406" s="232"/>
      <c r="G406" s="232"/>
      <c r="H406" s="232"/>
      <c r="I406" s="233">
        <f>SUM(I407+I408)</f>
        <v>755.7</v>
      </c>
      <c r="J406" s="234"/>
      <c r="K406" s="233">
        <f>SUM(I406)</f>
        <v>755.7</v>
      </c>
      <c r="L406" s="233">
        <f>SUM(L407+L408)</f>
        <v>755.7</v>
      </c>
      <c r="M406" s="232"/>
      <c r="N406" s="233">
        <f>SUM(N407+N408)</f>
        <v>755.7</v>
      </c>
      <c r="O406" s="178">
        <f t="shared" si="104"/>
        <v>755.7</v>
      </c>
      <c r="P406" s="92">
        <f t="shared" si="105"/>
        <v>0</v>
      </c>
    </row>
    <row r="407" spans="1:16" ht="66" customHeight="1" x14ac:dyDescent="0.2">
      <c r="A407" s="49"/>
      <c r="B407" s="168" t="s">
        <v>31</v>
      </c>
      <c r="C407" s="169" t="s">
        <v>429</v>
      </c>
      <c r="D407" s="170" t="s">
        <v>32</v>
      </c>
      <c r="E407" s="171"/>
      <c r="F407" s="232"/>
      <c r="G407" s="232"/>
      <c r="H407" s="232"/>
      <c r="I407" s="233">
        <v>755.7</v>
      </c>
      <c r="J407" s="234"/>
      <c r="K407" s="233">
        <v>755.7</v>
      </c>
      <c r="L407" s="233">
        <f>F407+I407</f>
        <v>755.7</v>
      </c>
      <c r="M407" s="232">
        <f>SUM(J407)</f>
        <v>0</v>
      </c>
      <c r="N407" s="233">
        <f>H407+K407</f>
        <v>755.7</v>
      </c>
      <c r="O407" s="178">
        <f t="shared" si="104"/>
        <v>755.7</v>
      </c>
      <c r="P407" s="92">
        <f t="shared" si="105"/>
        <v>0</v>
      </c>
    </row>
    <row r="408" spans="1:16" ht="23.45" customHeight="1" x14ac:dyDescent="0.2">
      <c r="A408" s="49"/>
      <c r="B408" s="168" t="s">
        <v>35</v>
      </c>
      <c r="C408" s="169" t="s">
        <v>429</v>
      </c>
      <c r="D408" s="170" t="s">
        <v>36</v>
      </c>
      <c r="E408" s="171"/>
      <c r="F408" s="232"/>
      <c r="G408" s="232"/>
      <c r="H408" s="232"/>
      <c r="I408" s="233">
        <v>0</v>
      </c>
      <c r="J408" s="234"/>
      <c r="K408" s="233">
        <v>0</v>
      </c>
      <c r="L408" s="233">
        <f>F408+I408</f>
        <v>0</v>
      </c>
      <c r="M408" s="232">
        <f>SUM(J408)</f>
        <v>0</v>
      </c>
      <c r="N408" s="233">
        <f>H408+K408</f>
        <v>0</v>
      </c>
      <c r="O408" s="178">
        <f t="shared" si="104"/>
        <v>0</v>
      </c>
      <c r="P408" s="92">
        <f t="shared" si="105"/>
        <v>0</v>
      </c>
    </row>
    <row r="409" spans="1:16" ht="47.25" x14ac:dyDescent="0.2">
      <c r="A409" s="42"/>
      <c r="B409" s="168" t="s">
        <v>430</v>
      </c>
      <c r="C409" s="169" t="s">
        <v>431</v>
      </c>
      <c r="D409" s="170" t="s">
        <v>26</v>
      </c>
      <c r="E409" s="171"/>
      <c r="F409" s="232">
        <f t="shared" ref="F409:N409" si="107">F410</f>
        <v>0</v>
      </c>
      <c r="G409" s="232">
        <f t="shared" si="107"/>
        <v>0</v>
      </c>
      <c r="H409" s="232">
        <f t="shared" si="107"/>
        <v>0</v>
      </c>
      <c r="I409" s="233">
        <f t="shared" si="107"/>
        <v>12.4</v>
      </c>
      <c r="J409" s="234"/>
      <c r="K409" s="233">
        <f t="shared" si="107"/>
        <v>12.4</v>
      </c>
      <c r="L409" s="232">
        <f t="shared" si="107"/>
        <v>12.4</v>
      </c>
      <c r="M409" s="232">
        <f t="shared" si="107"/>
        <v>0</v>
      </c>
      <c r="N409" s="232">
        <f t="shared" si="107"/>
        <v>12.4</v>
      </c>
      <c r="O409" s="178">
        <f t="shared" si="104"/>
        <v>12.4</v>
      </c>
      <c r="P409" s="92">
        <f t="shared" si="105"/>
        <v>0</v>
      </c>
    </row>
    <row r="410" spans="1:16" ht="31.5" x14ac:dyDescent="0.2">
      <c r="A410" s="42"/>
      <c r="B410" s="168" t="s">
        <v>35</v>
      </c>
      <c r="C410" s="169" t="s">
        <v>431</v>
      </c>
      <c r="D410" s="170" t="s">
        <v>36</v>
      </c>
      <c r="E410" s="171"/>
      <c r="F410" s="232">
        <v>0</v>
      </c>
      <c r="G410" s="232">
        <v>0</v>
      </c>
      <c r="H410" s="232">
        <v>0</v>
      </c>
      <c r="I410" s="233">
        <v>12.4</v>
      </c>
      <c r="J410" s="234"/>
      <c r="K410" s="233">
        <v>12.4</v>
      </c>
      <c r="L410" s="232">
        <v>12.4</v>
      </c>
      <c r="M410" s="232">
        <v>0</v>
      </c>
      <c r="N410" s="232">
        <v>12.4</v>
      </c>
      <c r="O410" s="178">
        <f t="shared" si="104"/>
        <v>12.4</v>
      </c>
      <c r="P410" s="92">
        <f t="shared" si="105"/>
        <v>0</v>
      </c>
    </row>
    <row r="411" spans="1:16" ht="18.75" x14ac:dyDescent="0.2">
      <c r="A411" s="49"/>
      <c r="B411" s="190" t="s">
        <v>432</v>
      </c>
      <c r="C411" s="191" t="s">
        <v>433</v>
      </c>
      <c r="D411" s="192" t="s">
        <v>26</v>
      </c>
      <c r="E411" s="193"/>
      <c r="F411" s="230">
        <f t="shared" ref="F411:N411" si="108">F412</f>
        <v>5693</v>
      </c>
      <c r="G411" s="230">
        <f t="shared" si="108"/>
        <v>0</v>
      </c>
      <c r="H411" s="230">
        <f t="shared" si="108"/>
        <v>5693</v>
      </c>
      <c r="I411" s="231">
        <f t="shared" si="108"/>
        <v>0</v>
      </c>
      <c r="J411" s="230">
        <f t="shared" si="108"/>
        <v>0</v>
      </c>
      <c r="K411" s="231">
        <f t="shared" si="108"/>
        <v>0</v>
      </c>
      <c r="L411" s="230">
        <f t="shared" si="108"/>
        <v>5693</v>
      </c>
      <c r="M411" s="230">
        <f t="shared" si="108"/>
        <v>0</v>
      </c>
      <c r="N411" s="230">
        <f t="shared" si="108"/>
        <v>5693</v>
      </c>
      <c r="O411" s="178">
        <f t="shared" si="104"/>
        <v>5693</v>
      </c>
      <c r="P411" s="92">
        <f t="shared" si="105"/>
        <v>0</v>
      </c>
    </row>
    <row r="412" spans="1:16" ht="31.5" x14ac:dyDescent="0.2">
      <c r="A412" s="42"/>
      <c r="B412" s="168" t="s">
        <v>434</v>
      </c>
      <c r="C412" s="169" t="s">
        <v>435</v>
      </c>
      <c r="D412" s="170" t="s">
        <v>26</v>
      </c>
      <c r="E412" s="171"/>
      <c r="F412" s="232">
        <f>F414+F413</f>
        <v>5693</v>
      </c>
      <c r="G412" s="232">
        <f>SUM(G414)+G413</f>
        <v>0</v>
      </c>
      <c r="H412" s="232">
        <f>H414+H413</f>
        <v>5693</v>
      </c>
      <c r="I412" s="233">
        <f>I414</f>
        <v>0</v>
      </c>
      <c r="J412" s="234"/>
      <c r="K412" s="233">
        <f>K414</f>
        <v>0</v>
      </c>
      <c r="L412" s="232">
        <f>SUM(F412)</f>
        <v>5693</v>
      </c>
      <c r="M412" s="232">
        <f>SUM(M414)+M413</f>
        <v>0</v>
      </c>
      <c r="N412" s="232">
        <f>SUM(H412)</f>
        <v>5693</v>
      </c>
      <c r="O412" s="178">
        <f t="shared" si="104"/>
        <v>5693</v>
      </c>
      <c r="P412" s="92">
        <f t="shared" si="105"/>
        <v>0</v>
      </c>
    </row>
    <row r="413" spans="1:16" ht="31.5" x14ac:dyDescent="0.2">
      <c r="A413" s="42"/>
      <c r="B413" s="168" t="s">
        <v>35</v>
      </c>
      <c r="C413" s="169" t="s">
        <v>435</v>
      </c>
      <c r="D413" s="170" t="s">
        <v>36</v>
      </c>
      <c r="E413" s="171"/>
      <c r="F413" s="232">
        <v>3645.9</v>
      </c>
      <c r="G413" s="232">
        <f>45.7+1.8+51.1+27.8</f>
        <v>126.39999999999999</v>
      </c>
      <c r="H413" s="232">
        <f>SUM(F413)+G413</f>
        <v>3772.3</v>
      </c>
      <c r="I413" s="233"/>
      <c r="J413" s="234"/>
      <c r="K413" s="233"/>
      <c r="L413" s="232">
        <f>SUM(F413)</f>
        <v>3645.9</v>
      </c>
      <c r="M413" s="232">
        <f>SUM(G413)</f>
        <v>126.39999999999999</v>
      </c>
      <c r="N413" s="232">
        <f>SUM(H413)</f>
        <v>3772.3</v>
      </c>
      <c r="O413" s="178">
        <f t="shared" si="104"/>
        <v>3772.3</v>
      </c>
      <c r="P413" s="92">
        <f t="shared" si="105"/>
        <v>0</v>
      </c>
    </row>
    <row r="414" spans="1:16" ht="18.75" x14ac:dyDescent="0.2">
      <c r="A414" s="42"/>
      <c r="B414" s="168" t="s">
        <v>41</v>
      </c>
      <c r="C414" s="169" t="s">
        <v>435</v>
      </c>
      <c r="D414" s="170" t="s">
        <v>42</v>
      </c>
      <c r="E414" s="171"/>
      <c r="F414" s="232">
        <v>2047.1</v>
      </c>
      <c r="G414" s="232">
        <f>-45.7-1.8-51.1-27.8</f>
        <v>-126.39999999999999</v>
      </c>
      <c r="H414" s="232">
        <f>F414+G414</f>
        <v>1920.6999999999998</v>
      </c>
      <c r="I414" s="233">
        <v>0</v>
      </c>
      <c r="J414" s="234"/>
      <c r="K414" s="233">
        <v>0</v>
      </c>
      <c r="L414" s="232">
        <f>F414</f>
        <v>2047.1</v>
      </c>
      <c r="M414" s="232">
        <f>SUM(G414)</f>
        <v>-126.39999999999999</v>
      </c>
      <c r="N414" s="232">
        <f>L414+M414</f>
        <v>1920.6999999999998</v>
      </c>
      <c r="O414" s="178">
        <f t="shared" si="104"/>
        <v>1920.6999999999998</v>
      </c>
      <c r="P414" s="92">
        <f t="shared" si="105"/>
        <v>0</v>
      </c>
    </row>
    <row r="415" spans="1:16" ht="37.15" customHeight="1" x14ac:dyDescent="0.2">
      <c r="A415" s="19" t="s">
        <v>436</v>
      </c>
      <c r="B415" s="182" t="s">
        <v>437</v>
      </c>
      <c r="C415" s="183" t="s">
        <v>438</v>
      </c>
      <c r="D415" s="184" t="s">
        <v>26</v>
      </c>
      <c r="E415" s="185"/>
      <c r="F415" s="235">
        <f>F419</f>
        <v>865.3</v>
      </c>
      <c r="G415" s="238">
        <f>G419</f>
        <v>478.6</v>
      </c>
      <c r="H415" s="238">
        <f>H419</f>
        <v>1343.9</v>
      </c>
      <c r="I415" s="236">
        <f>I416</f>
        <v>0</v>
      </c>
      <c r="J415" s="239"/>
      <c r="K415" s="239"/>
      <c r="L415" s="239">
        <f>L419</f>
        <v>865.3</v>
      </c>
      <c r="M415" s="239">
        <f>M419</f>
        <v>478.6</v>
      </c>
      <c r="N415" s="239">
        <f>N419</f>
        <v>1343.9</v>
      </c>
      <c r="O415" s="178">
        <f t="shared" si="104"/>
        <v>1343.9</v>
      </c>
      <c r="P415" s="92">
        <f t="shared" si="105"/>
        <v>0</v>
      </c>
    </row>
    <row r="416" spans="1:16" ht="27.6" hidden="1" customHeight="1" x14ac:dyDescent="0.2">
      <c r="A416" s="42"/>
      <c r="B416" s="168" t="s">
        <v>439</v>
      </c>
      <c r="C416" s="169" t="s">
        <v>440</v>
      </c>
      <c r="D416" s="170" t="s">
        <v>26</v>
      </c>
      <c r="E416" s="171"/>
      <c r="F416" s="232">
        <f>F417</f>
        <v>0</v>
      </c>
      <c r="G416" s="234"/>
      <c r="H416" s="234"/>
      <c r="I416" s="233">
        <f>I417</f>
        <v>0</v>
      </c>
      <c r="J416" s="240"/>
      <c r="K416" s="240"/>
      <c r="L416" s="240"/>
      <c r="M416" s="240"/>
      <c r="N416" s="240">
        <f>N417</f>
        <v>0</v>
      </c>
      <c r="O416" s="178">
        <f t="shared" si="104"/>
        <v>0</v>
      </c>
      <c r="P416" s="92">
        <f t="shared" si="105"/>
        <v>0</v>
      </c>
    </row>
    <row r="417" spans="1:16" ht="24.6" hidden="1" customHeight="1" x14ac:dyDescent="0.2">
      <c r="A417" s="42"/>
      <c r="B417" s="168" t="s">
        <v>441</v>
      </c>
      <c r="C417" s="169" t="s">
        <v>442</v>
      </c>
      <c r="D417" s="170" t="s">
        <v>26</v>
      </c>
      <c r="E417" s="171"/>
      <c r="F417" s="232"/>
      <c r="G417" s="234"/>
      <c r="H417" s="234"/>
      <c r="I417" s="233">
        <f>I423</f>
        <v>0</v>
      </c>
      <c r="J417" s="234"/>
      <c r="K417" s="234"/>
      <c r="L417" s="234"/>
      <c r="M417" s="234"/>
      <c r="N417" s="232"/>
      <c r="O417" s="178">
        <f t="shared" si="104"/>
        <v>0</v>
      </c>
      <c r="P417" s="92">
        <f t="shared" si="105"/>
        <v>0</v>
      </c>
    </row>
    <row r="418" spans="1:16" ht="28.15" hidden="1" customHeight="1" thickBot="1" x14ac:dyDescent="0.25">
      <c r="A418" s="57"/>
      <c r="B418" s="241" t="s">
        <v>41</v>
      </c>
      <c r="C418" s="242" t="s">
        <v>442</v>
      </c>
      <c r="D418" s="170" t="s">
        <v>42</v>
      </c>
      <c r="E418" s="171"/>
      <c r="F418" s="232"/>
      <c r="G418" s="234"/>
      <c r="H418" s="234"/>
      <c r="I418" s="233">
        <v>0</v>
      </c>
      <c r="J418" s="234"/>
      <c r="K418" s="234"/>
      <c r="L418" s="234"/>
      <c r="M418" s="234"/>
      <c r="N418" s="232"/>
      <c r="O418" s="178">
        <f t="shared" si="104"/>
        <v>0</v>
      </c>
      <c r="P418" s="92">
        <f t="shared" si="105"/>
        <v>0</v>
      </c>
    </row>
    <row r="419" spans="1:16" ht="31.5" x14ac:dyDescent="0.2">
      <c r="A419" s="57"/>
      <c r="B419" s="197" t="s">
        <v>439</v>
      </c>
      <c r="C419" s="218" t="s">
        <v>440</v>
      </c>
      <c r="D419" s="218"/>
      <c r="E419" s="218"/>
      <c r="F419" s="233">
        <v>865.3</v>
      </c>
      <c r="G419" s="233">
        <f>SUM(G421)</f>
        <v>478.6</v>
      </c>
      <c r="H419" s="233">
        <f>SUM(F419)+G419</f>
        <v>1343.9</v>
      </c>
      <c r="I419" s="233"/>
      <c r="J419" s="233"/>
      <c r="K419" s="233"/>
      <c r="L419" s="233">
        <f>SUM(F419)</f>
        <v>865.3</v>
      </c>
      <c r="M419" s="233">
        <f t="shared" ref="M419:N421" si="109">SUM(G419)</f>
        <v>478.6</v>
      </c>
      <c r="N419" s="233">
        <f t="shared" si="109"/>
        <v>1343.9</v>
      </c>
      <c r="O419" s="178">
        <f t="shared" si="104"/>
        <v>1343.9</v>
      </c>
      <c r="P419" s="92">
        <f t="shared" si="105"/>
        <v>0</v>
      </c>
    </row>
    <row r="420" spans="1:16" ht="31.5" x14ac:dyDescent="0.2">
      <c r="A420" s="57"/>
      <c r="B420" s="197" t="s">
        <v>441</v>
      </c>
      <c r="C420" s="199" t="s">
        <v>442</v>
      </c>
      <c r="D420" s="218"/>
      <c r="E420" s="218"/>
      <c r="F420" s="233">
        <v>865.3</v>
      </c>
      <c r="G420" s="233">
        <f>SUM(G421)</f>
        <v>478.6</v>
      </c>
      <c r="H420" s="233">
        <f>SUM(F420)+G420</f>
        <v>1343.9</v>
      </c>
      <c r="I420" s="233"/>
      <c r="J420" s="233"/>
      <c r="K420" s="233"/>
      <c r="L420" s="233">
        <f>SUM(F420)</f>
        <v>865.3</v>
      </c>
      <c r="M420" s="233">
        <f t="shared" si="109"/>
        <v>478.6</v>
      </c>
      <c r="N420" s="233">
        <f t="shared" si="109"/>
        <v>1343.9</v>
      </c>
      <c r="O420" s="178">
        <f t="shared" si="104"/>
        <v>1343.9</v>
      </c>
      <c r="P420" s="92">
        <f t="shared" si="105"/>
        <v>0</v>
      </c>
    </row>
    <row r="421" spans="1:16" ht="18.75" x14ac:dyDescent="0.2">
      <c r="A421" s="57"/>
      <c r="B421" s="168" t="s">
        <v>41</v>
      </c>
      <c r="C421" s="199" t="s">
        <v>442</v>
      </c>
      <c r="D421" s="218" t="s">
        <v>42</v>
      </c>
      <c r="E421" s="218"/>
      <c r="F421" s="233">
        <v>865.3</v>
      </c>
      <c r="G421" s="233">
        <f>23.3+35+400+20.3</f>
        <v>478.6</v>
      </c>
      <c r="H421" s="233">
        <f>SUM(F421)+G421</f>
        <v>1343.9</v>
      </c>
      <c r="I421" s="233"/>
      <c r="J421" s="233"/>
      <c r="K421" s="233"/>
      <c r="L421" s="233">
        <f>SUM(F421)</f>
        <v>865.3</v>
      </c>
      <c r="M421" s="233">
        <f t="shared" si="109"/>
        <v>478.6</v>
      </c>
      <c r="N421" s="233">
        <f t="shared" si="109"/>
        <v>1343.9</v>
      </c>
      <c r="O421" s="178">
        <f t="shared" si="104"/>
        <v>1343.9</v>
      </c>
      <c r="P421" s="92">
        <f t="shared" si="105"/>
        <v>0</v>
      </c>
    </row>
    <row r="422" spans="1:16" ht="34.15" customHeight="1" x14ac:dyDescent="0.2">
      <c r="A422" s="57"/>
      <c r="B422" s="450" t="s">
        <v>443</v>
      </c>
      <c r="C422" s="451"/>
      <c r="D422" s="451"/>
      <c r="E422" s="451"/>
      <c r="F422" s="451"/>
      <c r="G422" s="451"/>
      <c r="H422" s="451"/>
      <c r="I422" s="451"/>
      <c r="J422" s="451"/>
      <c r="K422" s="451"/>
      <c r="L422" s="451"/>
      <c r="M422" s="451"/>
      <c r="N422" s="451"/>
      <c r="O422" s="178">
        <f t="shared" si="104"/>
        <v>0</v>
      </c>
      <c r="P422" s="92">
        <f t="shared" si="105"/>
        <v>0</v>
      </c>
    </row>
    <row r="423" spans="1:16" ht="16.5" customHeight="1" thickBot="1" x14ac:dyDescent="0.25">
      <c r="A423" s="70"/>
      <c r="B423" s="452"/>
      <c r="C423" s="453"/>
      <c r="D423" s="453"/>
      <c r="E423" s="453"/>
      <c r="F423" s="453"/>
      <c r="G423" s="453"/>
      <c r="H423" s="453"/>
      <c r="I423" s="453"/>
      <c r="J423" s="453"/>
      <c r="K423" s="453"/>
      <c r="L423" s="453"/>
      <c r="M423" s="453"/>
      <c r="N423" s="453"/>
      <c r="O423" s="178">
        <f t="shared" si="104"/>
        <v>0</v>
      </c>
      <c r="P423" s="92">
        <f t="shared" si="105"/>
        <v>0</v>
      </c>
    </row>
    <row r="424" spans="1:16" ht="18.75" x14ac:dyDescent="0.2">
      <c r="B424" s="244"/>
      <c r="C424" s="244"/>
      <c r="D424" s="244"/>
      <c r="E424" s="244"/>
      <c r="F424" s="244"/>
      <c r="G424" s="244"/>
      <c r="H424" s="244"/>
      <c r="I424" s="244"/>
      <c r="J424" s="244"/>
      <c r="K424" s="244"/>
      <c r="L424" s="244"/>
      <c r="M424" s="244"/>
      <c r="N424" s="244"/>
      <c r="O424" s="178">
        <f t="shared" si="104"/>
        <v>0</v>
      </c>
      <c r="P424" s="92">
        <f t="shared" si="105"/>
        <v>0</v>
      </c>
    </row>
    <row r="425" spans="1:16" ht="18.75" x14ac:dyDescent="0.2">
      <c r="B425" s="244"/>
      <c r="C425" s="244"/>
      <c r="D425" s="244"/>
      <c r="E425" s="244"/>
      <c r="F425" s="244"/>
      <c r="G425" s="244"/>
      <c r="H425" s="244"/>
      <c r="I425" s="244"/>
      <c r="J425" s="244"/>
      <c r="K425" s="244"/>
      <c r="L425" s="244"/>
      <c r="M425" s="244"/>
      <c r="N425" s="244"/>
      <c r="O425" s="178">
        <f t="shared" si="104"/>
        <v>0</v>
      </c>
      <c r="P425" s="92">
        <f t="shared" si="105"/>
        <v>0</v>
      </c>
    </row>
    <row r="426" spans="1:16" ht="18.75" x14ac:dyDescent="0.2">
      <c r="B426" s="244"/>
      <c r="C426" s="244"/>
      <c r="D426" s="244"/>
      <c r="E426" s="244"/>
      <c r="F426" s="244"/>
      <c r="G426" s="244"/>
      <c r="H426" s="244"/>
      <c r="I426" s="244"/>
      <c r="J426" s="244"/>
      <c r="K426" s="244"/>
      <c r="L426" s="244"/>
      <c r="M426" s="244"/>
      <c r="N426" s="244"/>
      <c r="O426" s="178">
        <f t="shared" si="104"/>
        <v>0</v>
      </c>
      <c r="P426" s="92">
        <f t="shared" si="105"/>
        <v>0</v>
      </c>
    </row>
    <row r="427" spans="1:16" ht="18.75" x14ac:dyDescent="0.2">
      <c r="B427" s="244"/>
      <c r="C427" s="244"/>
      <c r="D427" s="244"/>
      <c r="E427" s="244"/>
      <c r="F427" s="244"/>
      <c r="G427" s="244"/>
      <c r="H427" s="244"/>
      <c r="I427" s="244"/>
      <c r="J427" s="244"/>
      <c r="K427" s="244"/>
      <c r="L427" s="244"/>
      <c r="M427" s="244"/>
      <c r="N427" s="244"/>
      <c r="O427" s="178">
        <f t="shared" si="104"/>
        <v>0</v>
      </c>
      <c r="P427" s="92">
        <f t="shared" si="105"/>
        <v>0</v>
      </c>
    </row>
    <row r="428" spans="1:16" ht="18.75" x14ac:dyDescent="0.2">
      <c r="B428" s="244"/>
      <c r="C428" s="244"/>
      <c r="D428" s="244"/>
      <c r="E428" s="244"/>
      <c r="F428" s="244"/>
      <c r="G428" s="244"/>
      <c r="H428" s="244"/>
      <c r="I428" s="244"/>
      <c r="J428" s="244"/>
      <c r="K428" s="244"/>
      <c r="L428" s="244"/>
      <c r="M428" s="244"/>
      <c r="N428" s="244"/>
      <c r="O428" s="178">
        <f t="shared" si="104"/>
        <v>0</v>
      </c>
      <c r="P428" s="92">
        <f t="shared" si="105"/>
        <v>0</v>
      </c>
    </row>
    <row r="429" spans="1:16" ht="18.75" x14ac:dyDescent="0.2">
      <c r="B429" s="244"/>
      <c r="C429" s="244"/>
      <c r="D429" s="244"/>
      <c r="E429" s="244"/>
      <c r="F429" s="244"/>
      <c r="G429" s="244"/>
      <c r="H429" s="244"/>
      <c r="I429" s="244"/>
      <c r="J429" s="244"/>
      <c r="K429" s="244"/>
      <c r="L429" s="244"/>
      <c r="M429" s="244"/>
      <c r="N429" s="244"/>
      <c r="O429" s="178">
        <f t="shared" si="104"/>
        <v>0</v>
      </c>
      <c r="P429" s="92">
        <f t="shared" si="105"/>
        <v>0</v>
      </c>
    </row>
    <row r="430" spans="1:16" ht="18.75" x14ac:dyDescent="0.2">
      <c r="B430" s="244"/>
      <c r="C430" s="244"/>
      <c r="D430" s="244"/>
      <c r="E430" s="244"/>
      <c r="F430" s="244"/>
      <c r="G430" s="244"/>
      <c r="H430" s="244"/>
      <c r="I430" s="244"/>
      <c r="J430" s="244"/>
      <c r="K430" s="244"/>
      <c r="L430" s="244"/>
      <c r="M430" s="244"/>
      <c r="N430" s="244"/>
      <c r="O430" s="178">
        <f t="shared" si="104"/>
        <v>0</v>
      </c>
      <c r="P430" s="92">
        <f t="shared" si="105"/>
        <v>0</v>
      </c>
    </row>
    <row r="431" spans="1:16" ht="18.75" x14ac:dyDescent="0.2">
      <c r="B431" s="244"/>
      <c r="C431" s="244"/>
      <c r="D431" s="244"/>
      <c r="E431" s="244"/>
      <c r="F431" s="244"/>
      <c r="G431" s="244"/>
      <c r="H431" s="244"/>
      <c r="I431" s="244"/>
      <c r="J431" s="244"/>
      <c r="K431" s="244"/>
      <c r="L431" s="244"/>
      <c r="M431" s="244"/>
      <c r="N431" s="244"/>
      <c r="O431" s="178">
        <f t="shared" si="104"/>
        <v>0</v>
      </c>
      <c r="P431" s="92">
        <f t="shared" si="105"/>
        <v>0</v>
      </c>
    </row>
    <row r="432" spans="1:16" ht="18.75" x14ac:dyDescent="0.2">
      <c r="B432" s="244"/>
      <c r="C432" s="244"/>
      <c r="D432" s="244"/>
      <c r="E432" s="244"/>
      <c r="F432" s="244"/>
      <c r="G432" s="244"/>
      <c r="H432" s="244"/>
      <c r="I432" s="244"/>
      <c r="J432" s="244"/>
      <c r="K432" s="244"/>
      <c r="L432" s="244"/>
      <c r="M432" s="244"/>
      <c r="N432" s="244"/>
      <c r="O432" s="178">
        <f t="shared" si="104"/>
        <v>0</v>
      </c>
      <c r="P432" s="92">
        <f t="shared" si="105"/>
        <v>0</v>
      </c>
    </row>
    <row r="433" spans="2:16" ht="18.75" x14ac:dyDescent="0.2">
      <c r="B433" s="244"/>
      <c r="C433" s="244"/>
      <c r="D433" s="244"/>
      <c r="E433" s="244"/>
      <c r="F433" s="244"/>
      <c r="G433" s="244"/>
      <c r="H433" s="244"/>
      <c r="I433" s="244"/>
      <c r="J433" s="244"/>
      <c r="K433" s="244"/>
      <c r="L433" s="244"/>
      <c r="M433" s="244"/>
      <c r="N433" s="244"/>
      <c r="O433" s="178">
        <f t="shared" si="104"/>
        <v>0</v>
      </c>
      <c r="P433" s="92">
        <f t="shared" si="105"/>
        <v>0</v>
      </c>
    </row>
    <row r="434" spans="2:16" ht="18.75" x14ac:dyDescent="0.2">
      <c r="B434" s="244"/>
      <c r="C434" s="244"/>
      <c r="D434" s="244"/>
      <c r="E434" s="244"/>
      <c r="F434" s="244"/>
      <c r="G434" s="244"/>
      <c r="H434" s="244"/>
      <c r="I434" s="244"/>
      <c r="J434" s="244"/>
      <c r="K434" s="244"/>
      <c r="L434" s="244"/>
      <c r="M434" s="244"/>
      <c r="N434" s="244"/>
      <c r="O434" s="178">
        <f t="shared" si="104"/>
        <v>0</v>
      </c>
      <c r="P434" s="92">
        <f t="shared" si="105"/>
        <v>0</v>
      </c>
    </row>
    <row r="435" spans="2:16" ht="18.75" x14ac:dyDescent="0.2">
      <c r="B435" s="244"/>
      <c r="C435" s="244"/>
      <c r="D435" s="244"/>
      <c r="E435" s="244"/>
      <c r="F435" s="244"/>
      <c r="G435" s="244"/>
      <c r="H435" s="244"/>
      <c r="I435" s="244"/>
      <c r="J435" s="244"/>
      <c r="K435" s="244"/>
      <c r="L435" s="244"/>
      <c r="M435" s="244"/>
      <c r="N435" s="244"/>
      <c r="O435" s="178">
        <f t="shared" si="104"/>
        <v>0</v>
      </c>
      <c r="P435" s="92">
        <f t="shared" si="105"/>
        <v>0</v>
      </c>
    </row>
    <row r="436" spans="2:16" ht="18.75" x14ac:dyDescent="0.2">
      <c r="B436" s="244"/>
      <c r="C436" s="244"/>
      <c r="D436" s="244"/>
      <c r="E436" s="244"/>
      <c r="F436" s="244"/>
      <c r="G436" s="244"/>
      <c r="H436" s="244"/>
      <c r="I436" s="244"/>
      <c r="J436" s="244"/>
      <c r="K436" s="244"/>
      <c r="L436" s="244"/>
      <c r="M436" s="244"/>
      <c r="N436" s="244"/>
      <c r="O436" s="178">
        <f t="shared" si="104"/>
        <v>0</v>
      </c>
      <c r="P436" s="92">
        <f t="shared" si="105"/>
        <v>0</v>
      </c>
    </row>
    <row r="437" spans="2:16" ht="18.75" x14ac:dyDescent="0.2">
      <c r="B437" s="244"/>
      <c r="C437" s="244"/>
      <c r="D437" s="244"/>
      <c r="E437" s="244"/>
      <c r="F437" s="244"/>
      <c r="G437" s="244"/>
      <c r="H437" s="244"/>
      <c r="I437" s="244"/>
      <c r="J437" s="244"/>
      <c r="K437" s="244"/>
      <c r="L437" s="244"/>
      <c r="M437" s="244"/>
      <c r="N437" s="244"/>
      <c r="O437" s="178">
        <f t="shared" si="104"/>
        <v>0</v>
      </c>
      <c r="P437" s="92">
        <f t="shared" si="105"/>
        <v>0</v>
      </c>
    </row>
    <row r="438" spans="2:16" ht="18.75" x14ac:dyDescent="0.2">
      <c r="B438" s="244"/>
      <c r="C438" s="244"/>
      <c r="D438" s="244"/>
      <c r="E438" s="244"/>
      <c r="F438" s="244"/>
      <c r="G438" s="244"/>
      <c r="H438" s="244"/>
      <c r="I438" s="244"/>
      <c r="J438" s="244"/>
      <c r="K438" s="244"/>
      <c r="L438" s="244"/>
      <c r="M438" s="244"/>
      <c r="N438" s="244"/>
      <c r="O438" s="178">
        <f t="shared" si="104"/>
        <v>0</v>
      </c>
      <c r="P438" s="92">
        <f t="shared" si="105"/>
        <v>0</v>
      </c>
    </row>
    <row r="439" spans="2:16" ht="18.75" x14ac:dyDescent="0.2">
      <c r="B439" s="244"/>
      <c r="C439" s="244"/>
      <c r="D439" s="244"/>
      <c r="E439" s="244"/>
      <c r="F439" s="244"/>
      <c r="G439" s="244"/>
      <c r="H439" s="244"/>
      <c r="I439" s="244"/>
      <c r="J439" s="244"/>
      <c r="K439" s="244"/>
      <c r="L439" s="244"/>
      <c r="M439" s="244"/>
      <c r="N439" s="244"/>
      <c r="O439" s="178">
        <f t="shared" si="104"/>
        <v>0</v>
      </c>
      <c r="P439" s="92">
        <f t="shared" si="105"/>
        <v>0</v>
      </c>
    </row>
    <row r="440" spans="2:16" ht="18.75" x14ac:dyDescent="0.2">
      <c r="B440" s="244"/>
      <c r="C440" s="244"/>
      <c r="D440" s="244"/>
      <c r="E440" s="244"/>
      <c r="F440" s="244"/>
      <c r="G440" s="244"/>
      <c r="H440" s="244"/>
      <c r="I440" s="244"/>
      <c r="J440" s="244"/>
      <c r="K440" s="244"/>
      <c r="L440" s="244"/>
      <c r="M440" s="244"/>
      <c r="N440" s="244"/>
      <c r="O440" s="178">
        <f t="shared" si="104"/>
        <v>0</v>
      </c>
      <c r="P440" s="92">
        <f t="shared" si="105"/>
        <v>0</v>
      </c>
    </row>
    <row r="441" spans="2:16" ht="18.75" x14ac:dyDescent="0.2">
      <c r="B441" s="244"/>
      <c r="C441" s="244"/>
      <c r="D441" s="244"/>
      <c r="E441" s="244"/>
      <c r="F441" s="244"/>
      <c r="G441" s="244"/>
      <c r="H441" s="244"/>
      <c r="I441" s="244"/>
      <c r="J441" s="244"/>
      <c r="K441" s="244"/>
      <c r="L441" s="244"/>
      <c r="M441" s="244"/>
      <c r="N441" s="244"/>
      <c r="O441" s="178">
        <f t="shared" si="104"/>
        <v>0</v>
      </c>
      <c r="P441" s="92">
        <f t="shared" si="105"/>
        <v>0</v>
      </c>
    </row>
    <row r="442" spans="2:16" ht="18.75" x14ac:dyDescent="0.2">
      <c r="B442" s="244"/>
      <c r="C442" s="244"/>
      <c r="D442" s="244"/>
      <c r="E442" s="244"/>
      <c r="F442" s="244"/>
      <c r="G442" s="244"/>
      <c r="H442" s="244"/>
      <c r="I442" s="244"/>
      <c r="J442" s="244"/>
      <c r="K442" s="244"/>
      <c r="L442" s="244"/>
      <c r="M442" s="244"/>
      <c r="N442" s="244"/>
      <c r="O442" s="178">
        <f t="shared" si="104"/>
        <v>0</v>
      </c>
      <c r="P442" s="92">
        <f t="shared" si="105"/>
        <v>0</v>
      </c>
    </row>
    <row r="443" spans="2:16" ht="18.75" x14ac:dyDescent="0.2">
      <c r="B443" s="244"/>
      <c r="C443" s="244"/>
      <c r="D443" s="244"/>
      <c r="E443" s="244"/>
      <c r="F443" s="244"/>
      <c r="G443" s="244"/>
      <c r="H443" s="244"/>
      <c r="I443" s="244"/>
      <c r="J443" s="244"/>
      <c r="K443" s="244"/>
      <c r="L443" s="244"/>
      <c r="M443" s="244"/>
      <c r="N443" s="244"/>
      <c r="O443" s="178">
        <f t="shared" si="104"/>
        <v>0</v>
      </c>
      <c r="P443" s="92">
        <f t="shared" si="105"/>
        <v>0</v>
      </c>
    </row>
    <row r="444" spans="2:16" ht="18.75" x14ac:dyDescent="0.2">
      <c r="B444" s="244"/>
      <c r="C444" s="244"/>
      <c r="D444" s="244"/>
      <c r="E444" s="244"/>
      <c r="F444" s="244"/>
      <c r="G444" s="244"/>
      <c r="H444" s="244"/>
      <c r="I444" s="244"/>
      <c r="J444" s="244"/>
      <c r="K444" s="244"/>
      <c r="L444" s="244"/>
      <c r="M444" s="244"/>
      <c r="N444" s="244"/>
      <c r="O444" s="178">
        <f t="shared" si="104"/>
        <v>0</v>
      </c>
      <c r="P444" s="92">
        <f t="shared" si="105"/>
        <v>0</v>
      </c>
    </row>
    <row r="445" spans="2:16" ht="18.75" x14ac:dyDescent="0.2">
      <c r="B445" s="244"/>
      <c r="C445" s="244"/>
      <c r="D445" s="244"/>
      <c r="E445" s="244"/>
      <c r="F445" s="244"/>
      <c r="G445" s="244"/>
      <c r="H445" s="244"/>
      <c r="I445" s="244"/>
      <c r="J445" s="244"/>
      <c r="K445" s="244"/>
      <c r="L445" s="244"/>
      <c r="M445" s="244"/>
      <c r="N445" s="244"/>
      <c r="O445" s="178">
        <f t="shared" si="104"/>
        <v>0</v>
      </c>
      <c r="P445" s="92">
        <f t="shared" si="105"/>
        <v>0</v>
      </c>
    </row>
    <row r="446" spans="2:16" ht="18.75" x14ac:dyDescent="0.2">
      <c r="B446" s="244"/>
      <c r="C446" s="244"/>
      <c r="D446" s="244"/>
      <c r="E446" s="244"/>
      <c r="F446" s="244"/>
      <c r="G446" s="244"/>
      <c r="H446" s="244"/>
      <c r="I446" s="244"/>
      <c r="J446" s="244"/>
      <c r="K446" s="244"/>
      <c r="L446" s="244"/>
      <c r="M446" s="244"/>
      <c r="N446" s="244"/>
      <c r="O446" s="178">
        <f t="shared" si="104"/>
        <v>0</v>
      </c>
      <c r="P446" s="92">
        <f t="shared" si="105"/>
        <v>0</v>
      </c>
    </row>
    <row r="447" spans="2:16" ht="18.75" x14ac:dyDescent="0.2">
      <c r="B447" s="244"/>
      <c r="C447" s="244"/>
      <c r="D447" s="244"/>
      <c r="E447" s="244"/>
      <c r="F447" s="244"/>
      <c r="G447" s="244"/>
      <c r="H447" s="244"/>
      <c r="I447" s="244"/>
      <c r="J447" s="244"/>
      <c r="K447" s="244"/>
      <c r="L447" s="244"/>
      <c r="M447" s="244"/>
      <c r="N447" s="244"/>
      <c r="O447" s="178">
        <f t="shared" si="104"/>
        <v>0</v>
      </c>
      <c r="P447" s="92">
        <f t="shared" si="105"/>
        <v>0</v>
      </c>
    </row>
    <row r="448" spans="2:16" ht="18.75" x14ac:dyDescent="0.2">
      <c r="B448" s="244"/>
      <c r="C448" s="244"/>
      <c r="D448" s="244"/>
      <c r="E448" s="244"/>
      <c r="F448" s="244"/>
      <c r="G448" s="244"/>
      <c r="H448" s="244"/>
      <c r="I448" s="244"/>
      <c r="J448" s="244"/>
      <c r="K448" s="244"/>
      <c r="L448" s="244"/>
      <c r="M448" s="244"/>
      <c r="N448" s="244"/>
      <c r="O448" s="178">
        <f t="shared" si="104"/>
        <v>0</v>
      </c>
      <c r="P448" s="92">
        <f t="shared" si="105"/>
        <v>0</v>
      </c>
    </row>
    <row r="449" spans="2:16" ht="18.75" x14ac:dyDescent="0.2">
      <c r="B449" s="244"/>
      <c r="C449" s="244"/>
      <c r="D449" s="244"/>
      <c r="E449" s="244"/>
      <c r="F449" s="244"/>
      <c r="G449" s="244"/>
      <c r="H449" s="244"/>
      <c r="I449" s="244"/>
      <c r="J449" s="244"/>
      <c r="K449" s="244"/>
      <c r="L449" s="244"/>
      <c r="M449" s="244"/>
      <c r="N449" s="244"/>
      <c r="O449" s="178">
        <f t="shared" si="104"/>
        <v>0</v>
      </c>
      <c r="P449" s="92">
        <f t="shared" si="105"/>
        <v>0</v>
      </c>
    </row>
    <row r="450" spans="2:16" ht="18.75" x14ac:dyDescent="0.2">
      <c r="B450" s="244"/>
      <c r="C450" s="244"/>
      <c r="D450" s="244"/>
      <c r="E450" s="244"/>
      <c r="F450" s="244"/>
      <c r="G450" s="244"/>
      <c r="H450" s="244"/>
      <c r="I450" s="244"/>
      <c r="J450" s="244"/>
      <c r="K450" s="244"/>
      <c r="L450" s="244"/>
      <c r="M450" s="244"/>
      <c r="N450" s="244"/>
      <c r="O450" s="178">
        <f t="shared" si="104"/>
        <v>0</v>
      </c>
      <c r="P450" s="92">
        <f t="shared" si="105"/>
        <v>0</v>
      </c>
    </row>
    <row r="451" spans="2:16" ht="18.75" x14ac:dyDescent="0.2">
      <c r="B451" s="244"/>
      <c r="C451" s="244"/>
      <c r="D451" s="244"/>
      <c r="E451" s="244"/>
      <c r="F451" s="244"/>
      <c r="G451" s="244"/>
      <c r="H451" s="244"/>
      <c r="I451" s="244"/>
      <c r="J451" s="244"/>
      <c r="K451" s="244"/>
      <c r="L451" s="244"/>
      <c r="M451" s="244"/>
      <c r="N451" s="244"/>
      <c r="O451" s="178">
        <f t="shared" si="104"/>
        <v>0</v>
      </c>
      <c r="P451" s="92">
        <f t="shared" si="105"/>
        <v>0</v>
      </c>
    </row>
    <row r="452" spans="2:16" ht="18.75" x14ac:dyDescent="0.2">
      <c r="B452" s="244"/>
      <c r="C452" s="244"/>
      <c r="D452" s="244"/>
      <c r="E452" s="244"/>
      <c r="F452" s="244"/>
      <c r="G452" s="244"/>
      <c r="H452" s="244"/>
      <c r="I452" s="244"/>
      <c r="J452" s="244"/>
      <c r="K452" s="244"/>
      <c r="L452" s="244"/>
      <c r="M452" s="244"/>
      <c r="N452" s="244"/>
      <c r="O452" s="178">
        <f t="shared" si="104"/>
        <v>0</v>
      </c>
      <c r="P452" s="92">
        <f t="shared" si="105"/>
        <v>0</v>
      </c>
    </row>
    <row r="453" spans="2:16" ht="18.75" x14ac:dyDescent="0.2">
      <c r="B453" s="244"/>
      <c r="C453" s="244"/>
      <c r="D453" s="244"/>
      <c r="E453" s="244"/>
      <c r="F453" s="244"/>
      <c r="G453" s="244"/>
      <c r="H453" s="244"/>
      <c r="I453" s="244"/>
      <c r="J453" s="244"/>
      <c r="K453" s="244"/>
      <c r="L453" s="244"/>
      <c r="M453" s="244"/>
      <c r="N453" s="244"/>
      <c r="O453" s="178">
        <f t="shared" si="104"/>
        <v>0</v>
      </c>
      <c r="P453" s="92">
        <f t="shared" si="105"/>
        <v>0</v>
      </c>
    </row>
    <row r="454" spans="2:16" x14ac:dyDescent="0.2">
      <c r="B454" s="244"/>
      <c r="C454" s="244"/>
      <c r="D454" s="244"/>
      <c r="E454" s="244"/>
      <c r="F454" s="244"/>
      <c r="G454" s="244"/>
      <c r="H454" s="244"/>
      <c r="I454" s="244"/>
      <c r="J454" s="244"/>
      <c r="K454" s="244"/>
      <c r="L454" s="244"/>
      <c r="M454" s="244"/>
      <c r="N454" s="244"/>
      <c r="O454" s="244"/>
    </row>
    <row r="455" spans="2:16" x14ac:dyDescent="0.2">
      <c r="B455" s="244"/>
      <c r="C455" s="244"/>
      <c r="D455" s="244"/>
      <c r="E455" s="244"/>
      <c r="F455" s="244"/>
      <c r="G455" s="244"/>
      <c r="H455" s="244"/>
      <c r="I455" s="244"/>
      <c r="J455" s="244"/>
      <c r="K455" s="244"/>
      <c r="L455" s="244"/>
      <c r="M455" s="244"/>
      <c r="N455" s="244"/>
      <c r="O455" s="244"/>
    </row>
    <row r="456" spans="2:16" x14ac:dyDescent="0.2">
      <c r="B456" s="244"/>
      <c r="C456" s="244"/>
      <c r="D456" s="244"/>
      <c r="E456" s="244"/>
      <c r="F456" s="244"/>
      <c r="G456" s="244"/>
      <c r="H456" s="244"/>
      <c r="I456" s="244"/>
      <c r="J456" s="244"/>
      <c r="K456" s="244"/>
      <c r="L456" s="244"/>
      <c r="M456" s="244"/>
      <c r="N456" s="244"/>
      <c r="O456" s="244"/>
    </row>
    <row r="457" spans="2:16" x14ac:dyDescent="0.2">
      <c r="B457" s="244"/>
      <c r="C457" s="244"/>
      <c r="D457" s="244"/>
      <c r="E457" s="244"/>
      <c r="F457" s="244"/>
      <c r="G457" s="244"/>
      <c r="H457" s="244"/>
      <c r="I457" s="244"/>
      <c r="J457" s="244"/>
      <c r="K457" s="244"/>
      <c r="L457" s="244"/>
      <c r="M457" s="244"/>
      <c r="N457" s="244"/>
      <c r="O457" s="244"/>
    </row>
    <row r="458" spans="2:16" x14ac:dyDescent="0.2">
      <c r="B458" s="244"/>
      <c r="C458" s="244"/>
      <c r="D458" s="244"/>
      <c r="E458" s="244"/>
      <c r="F458" s="244"/>
      <c r="G458" s="244"/>
      <c r="H458" s="244"/>
      <c r="I458" s="244"/>
      <c r="J458" s="244"/>
      <c r="K458" s="244"/>
      <c r="L458" s="244"/>
      <c r="M458" s="244"/>
      <c r="N458" s="244"/>
      <c r="O458" s="244"/>
    </row>
    <row r="459" spans="2:16" x14ac:dyDescent="0.2">
      <c r="B459" s="244"/>
      <c r="C459" s="244"/>
      <c r="D459" s="244"/>
      <c r="E459" s="244"/>
      <c r="F459" s="244"/>
      <c r="G459" s="244"/>
      <c r="H459" s="244"/>
      <c r="I459" s="244"/>
      <c r="J459" s="244"/>
      <c r="K459" s="244"/>
      <c r="L459" s="244"/>
      <c r="M459" s="244"/>
      <c r="N459" s="244"/>
      <c r="O459" s="244"/>
    </row>
    <row r="460" spans="2:16" x14ac:dyDescent="0.2">
      <c r="B460" s="244"/>
      <c r="C460" s="244"/>
      <c r="D460" s="244"/>
      <c r="E460" s="244"/>
      <c r="F460" s="244"/>
      <c r="G460" s="244"/>
      <c r="H460" s="244"/>
      <c r="I460" s="244"/>
      <c r="J460" s="244"/>
      <c r="K460" s="244"/>
      <c r="L460" s="244"/>
      <c r="M460" s="244"/>
      <c r="N460" s="244"/>
      <c r="O460" s="244"/>
    </row>
    <row r="461" spans="2:16" x14ac:dyDescent="0.2">
      <c r="B461" s="244"/>
      <c r="C461" s="244"/>
      <c r="D461" s="244"/>
      <c r="E461" s="244"/>
      <c r="F461" s="244"/>
      <c r="G461" s="244"/>
      <c r="H461" s="244"/>
      <c r="I461" s="244"/>
      <c r="J461" s="244"/>
      <c r="K461" s="244"/>
      <c r="L461" s="244"/>
      <c r="M461" s="244"/>
      <c r="N461" s="244"/>
      <c r="O461" s="244"/>
    </row>
    <row r="462" spans="2:16" x14ac:dyDescent="0.2">
      <c r="B462" s="244"/>
      <c r="C462" s="244"/>
      <c r="D462" s="244"/>
      <c r="E462" s="244"/>
      <c r="F462" s="244"/>
      <c r="G462" s="244"/>
      <c r="H462" s="244"/>
      <c r="I462" s="244"/>
      <c r="J462" s="244"/>
      <c r="K462" s="244"/>
      <c r="L462" s="244"/>
      <c r="M462" s="244"/>
      <c r="N462" s="244"/>
      <c r="O462" s="244"/>
    </row>
    <row r="463" spans="2:16" x14ac:dyDescent="0.2">
      <c r="B463" s="244"/>
      <c r="C463" s="244"/>
      <c r="D463" s="244"/>
      <c r="E463" s="244"/>
      <c r="F463" s="244"/>
      <c r="G463" s="244"/>
      <c r="H463" s="244"/>
      <c r="I463" s="244"/>
      <c r="J463" s="244"/>
      <c r="K463" s="244"/>
      <c r="L463" s="244"/>
      <c r="M463" s="244"/>
      <c r="N463" s="244"/>
      <c r="O463" s="244"/>
    </row>
    <row r="464" spans="2:16" x14ac:dyDescent="0.2">
      <c r="B464" s="244"/>
      <c r="C464" s="244"/>
      <c r="D464" s="244"/>
      <c r="E464" s="244"/>
      <c r="F464" s="244"/>
      <c r="G464" s="244"/>
      <c r="H464" s="244"/>
      <c r="I464" s="244"/>
      <c r="J464" s="244"/>
      <c r="K464" s="244"/>
      <c r="L464" s="244"/>
      <c r="M464" s="244"/>
      <c r="N464" s="244"/>
      <c r="O464" s="244"/>
    </row>
    <row r="465" spans="2:15" x14ac:dyDescent="0.2">
      <c r="B465" s="244"/>
      <c r="C465" s="244"/>
      <c r="D465" s="244"/>
      <c r="E465" s="244"/>
      <c r="F465" s="244"/>
      <c r="G465" s="244"/>
      <c r="H465" s="244"/>
      <c r="I465" s="244"/>
      <c r="J465" s="244"/>
      <c r="K465" s="244"/>
      <c r="L465" s="244"/>
      <c r="M465" s="244"/>
      <c r="N465" s="244"/>
      <c r="O465" s="244"/>
    </row>
    <row r="466" spans="2:15" x14ac:dyDescent="0.2">
      <c r="B466" s="244"/>
      <c r="C466" s="244"/>
      <c r="D466" s="244"/>
      <c r="E466" s="244"/>
      <c r="F466" s="244"/>
      <c r="G466" s="244"/>
      <c r="H466" s="244"/>
      <c r="I466" s="244"/>
      <c r="J466" s="244"/>
      <c r="K466" s="244"/>
      <c r="L466" s="244"/>
      <c r="M466" s="244"/>
      <c r="N466" s="244"/>
      <c r="O466" s="244"/>
    </row>
    <row r="467" spans="2:15" x14ac:dyDescent="0.2">
      <c r="B467" s="244"/>
      <c r="C467" s="244"/>
      <c r="D467" s="244"/>
      <c r="E467" s="244"/>
      <c r="F467" s="244"/>
      <c r="G467" s="244"/>
      <c r="H467" s="244"/>
      <c r="I467" s="244"/>
      <c r="J467" s="244"/>
      <c r="K467" s="244"/>
      <c r="L467" s="244"/>
      <c r="M467" s="244"/>
      <c r="N467" s="244"/>
      <c r="O467" s="244"/>
    </row>
    <row r="468" spans="2:15" x14ac:dyDescent="0.2">
      <c r="B468" s="244"/>
      <c r="C468" s="244"/>
      <c r="D468" s="244"/>
      <c r="E468" s="244"/>
      <c r="F468" s="244"/>
      <c r="G468" s="244"/>
      <c r="H468" s="244"/>
      <c r="I468" s="244"/>
      <c r="J468" s="244"/>
      <c r="K468" s="244"/>
      <c r="L468" s="244"/>
      <c r="M468" s="244"/>
      <c r="N468" s="244"/>
      <c r="O468" s="244"/>
    </row>
    <row r="469" spans="2:15" x14ac:dyDescent="0.2">
      <c r="B469" s="244"/>
      <c r="C469" s="244"/>
      <c r="D469" s="244"/>
      <c r="E469" s="244"/>
      <c r="F469" s="244"/>
      <c r="G469" s="244"/>
      <c r="H469" s="244"/>
      <c r="I469" s="244"/>
      <c r="J469" s="244"/>
      <c r="K469" s="244"/>
      <c r="L469" s="244"/>
      <c r="M469" s="244"/>
      <c r="N469" s="244"/>
      <c r="O469" s="244"/>
    </row>
    <row r="470" spans="2:15" x14ac:dyDescent="0.2">
      <c r="B470" s="244"/>
      <c r="C470" s="244"/>
      <c r="D470" s="244"/>
      <c r="E470" s="244"/>
      <c r="F470" s="244"/>
      <c r="G470" s="244"/>
      <c r="H470" s="244"/>
      <c r="I470" s="244"/>
      <c r="J470" s="244"/>
      <c r="K470" s="244"/>
      <c r="L470" s="244"/>
      <c r="M470" s="244"/>
      <c r="N470" s="244"/>
      <c r="O470" s="244"/>
    </row>
    <row r="471" spans="2:15" x14ac:dyDescent="0.2">
      <c r="B471" s="244"/>
      <c r="C471" s="244"/>
      <c r="D471" s="244"/>
      <c r="E471" s="244"/>
      <c r="F471" s="244"/>
      <c r="G471" s="244"/>
      <c r="H471" s="244"/>
      <c r="I471" s="244"/>
      <c r="J471" s="244"/>
      <c r="K471" s="244"/>
      <c r="L471" s="244"/>
      <c r="M471" s="244"/>
      <c r="N471" s="244"/>
      <c r="O471" s="244"/>
    </row>
    <row r="472" spans="2:15" x14ac:dyDescent="0.2">
      <c r="B472" s="244"/>
      <c r="C472" s="244"/>
      <c r="D472" s="244"/>
      <c r="E472" s="244"/>
      <c r="F472" s="244"/>
      <c r="G472" s="244"/>
      <c r="H472" s="244"/>
      <c r="I472" s="244"/>
      <c r="J472" s="244"/>
      <c r="K472" s="244"/>
      <c r="L472" s="244"/>
      <c r="M472" s="244"/>
      <c r="N472" s="244"/>
      <c r="O472" s="244"/>
    </row>
    <row r="473" spans="2:15" x14ac:dyDescent="0.2">
      <c r="B473" s="244"/>
      <c r="C473" s="244"/>
      <c r="D473" s="244"/>
      <c r="E473" s="244"/>
      <c r="F473" s="244"/>
      <c r="G473" s="244"/>
      <c r="H473" s="244"/>
      <c r="I473" s="244"/>
      <c r="J473" s="244"/>
      <c r="K473" s="244"/>
      <c r="L473" s="244"/>
      <c r="M473" s="244"/>
      <c r="N473" s="244"/>
      <c r="O473" s="244"/>
    </row>
    <row r="474" spans="2:15" x14ac:dyDescent="0.2">
      <c r="B474" s="244"/>
      <c r="C474" s="244"/>
      <c r="D474" s="244"/>
      <c r="E474" s="244"/>
      <c r="F474" s="244"/>
      <c r="G474" s="244"/>
      <c r="H474" s="244"/>
      <c r="I474" s="244"/>
      <c r="J474" s="244"/>
      <c r="K474" s="244"/>
      <c r="L474" s="244"/>
      <c r="M474" s="244"/>
      <c r="N474" s="244"/>
      <c r="O474" s="244"/>
    </row>
    <row r="475" spans="2:15" x14ac:dyDescent="0.2">
      <c r="B475" s="244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44"/>
      <c r="N475" s="244"/>
      <c r="O475" s="244"/>
    </row>
    <row r="476" spans="2:15" x14ac:dyDescent="0.2">
      <c r="B476" s="244"/>
      <c r="C476" s="244"/>
      <c r="D476" s="244"/>
      <c r="E476" s="244"/>
      <c r="F476" s="244"/>
      <c r="G476" s="244"/>
      <c r="H476" s="244"/>
      <c r="I476" s="244"/>
      <c r="J476" s="244"/>
      <c r="K476" s="244"/>
      <c r="L476" s="244"/>
      <c r="M476" s="244"/>
      <c r="N476" s="244"/>
      <c r="O476" s="244"/>
    </row>
    <row r="477" spans="2:15" x14ac:dyDescent="0.2">
      <c r="B477" s="244"/>
      <c r="C477" s="244"/>
      <c r="D477" s="244"/>
      <c r="E477" s="244"/>
      <c r="F477" s="244"/>
      <c r="G477" s="244"/>
      <c r="H477" s="244"/>
      <c r="I477" s="244"/>
      <c r="J477" s="244"/>
      <c r="K477" s="244"/>
      <c r="L477" s="244"/>
      <c r="M477" s="244"/>
      <c r="N477" s="244"/>
      <c r="O477" s="244"/>
    </row>
    <row r="478" spans="2:15" x14ac:dyDescent="0.2">
      <c r="B478" s="244"/>
      <c r="C478" s="244"/>
      <c r="D478" s="244"/>
      <c r="E478" s="244"/>
      <c r="F478" s="244"/>
      <c r="G478" s="244"/>
      <c r="H478" s="244"/>
      <c r="I478" s="244"/>
      <c r="J478" s="244"/>
      <c r="K478" s="244"/>
      <c r="L478" s="244"/>
      <c r="M478" s="244"/>
      <c r="N478" s="244"/>
      <c r="O478" s="244"/>
    </row>
    <row r="479" spans="2:15" x14ac:dyDescent="0.2">
      <c r="B479" s="244"/>
      <c r="C479" s="244"/>
      <c r="D479" s="244"/>
      <c r="E479" s="244"/>
      <c r="F479" s="244"/>
      <c r="G479" s="244"/>
      <c r="H479" s="244"/>
      <c r="I479" s="244"/>
      <c r="J479" s="244"/>
      <c r="K479" s="244"/>
      <c r="L479" s="244"/>
      <c r="M479" s="244"/>
      <c r="N479" s="244"/>
      <c r="O479" s="244"/>
    </row>
    <row r="480" spans="2:15" x14ac:dyDescent="0.2">
      <c r="B480" s="244"/>
      <c r="C480" s="244"/>
      <c r="D480" s="244"/>
      <c r="E480" s="244"/>
      <c r="F480" s="244"/>
      <c r="G480" s="244"/>
      <c r="H480" s="244"/>
      <c r="I480" s="244"/>
      <c r="J480" s="244"/>
      <c r="K480" s="244"/>
      <c r="L480" s="244"/>
      <c r="M480" s="244"/>
      <c r="N480" s="244"/>
      <c r="O480" s="244"/>
    </row>
    <row r="481" spans="2:15" x14ac:dyDescent="0.2">
      <c r="B481" s="244"/>
      <c r="C481" s="244"/>
      <c r="D481" s="244"/>
      <c r="E481" s="244"/>
      <c r="F481" s="244"/>
      <c r="G481" s="244"/>
      <c r="H481" s="244"/>
      <c r="I481" s="244"/>
      <c r="J481" s="244"/>
      <c r="K481" s="244"/>
      <c r="L481" s="244"/>
      <c r="M481" s="244"/>
      <c r="N481" s="244"/>
      <c r="O481" s="244"/>
    </row>
    <row r="482" spans="2:15" x14ac:dyDescent="0.2">
      <c r="B482" s="244"/>
      <c r="C482" s="244"/>
      <c r="D482" s="244"/>
      <c r="E482" s="244"/>
      <c r="F482" s="244"/>
      <c r="G482" s="244"/>
      <c r="H482" s="244"/>
      <c r="I482" s="244"/>
      <c r="J482" s="244"/>
      <c r="K482" s="244"/>
      <c r="L482" s="244"/>
      <c r="M482" s="244"/>
      <c r="N482" s="244"/>
      <c r="O482" s="244"/>
    </row>
    <row r="483" spans="2:15" x14ac:dyDescent="0.2">
      <c r="B483" s="244"/>
      <c r="C483" s="244"/>
      <c r="D483" s="244"/>
      <c r="E483" s="244"/>
      <c r="F483" s="244"/>
      <c r="G483" s="244"/>
      <c r="H483" s="244"/>
      <c r="I483" s="244"/>
      <c r="J483" s="244"/>
      <c r="K483" s="244"/>
      <c r="L483" s="244"/>
      <c r="M483" s="244"/>
      <c r="N483" s="244"/>
      <c r="O483" s="244"/>
    </row>
    <row r="484" spans="2:15" x14ac:dyDescent="0.2">
      <c r="B484" s="244"/>
      <c r="C484" s="244"/>
      <c r="D484" s="244"/>
      <c r="E484" s="244"/>
      <c r="F484" s="244"/>
      <c r="G484" s="244"/>
      <c r="H484" s="244"/>
      <c r="I484" s="244"/>
      <c r="J484" s="244"/>
      <c r="K484" s="244"/>
      <c r="L484" s="244"/>
      <c r="M484" s="244"/>
      <c r="N484" s="244"/>
      <c r="O484" s="244"/>
    </row>
    <row r="485" spans="2:15" x14ac:dyDescent="0.2">
      <c r="B485" s="244"/>
      <c r="C485" s="244"/>
      <c r="D485" s="244"/>
      <c r="E485" s="244"/>
      <c r="F485" s="244"/>
      <c r="G485" s="244"/>
      <c r="H485" s="244"/>
      <c r="I485" s="244"/>
      <c r="J485" s="244"/>
      <c r="K485" s="244"/>
      <c r="L485" s="244"/>
      <c r="M485" s="244"/>
      <c r="N485" s="244"/>
      <c r="O485" s="244"/>
    </row>
    <row r="486" spans="2:15" x14ac:dyDescent="0.2">
      <c r="B486" s="244"/>
      <c r="C486" s="244"/>
      <c r="D486" s="244"/>
      <c r="E486" s="244"/>
      <c r="F486" s="244"/>
      <c r="G486" s="244"/>
      <c r="H486" s="244"/>
      <c r="I486" s="244"/>
      <c r="J486" s="244"/>
      <c r="K486" s="244"/>
      <c r="L486" s="244"/>
      <c r="M486" s="244"/>
      <c r="N486" s="244"/>
      <c r="O486" s="244"/>
    </row>
    <row r="487" spans="2:15" x14ac:dyDescent="0.2">
      <c r="B487" s="244"/>
      <c r="C487" s="244"/>
      <c r="D487" s="244"/>
      <c r="E487" s="244"/>
      <c r="F487" s="244"/>
      <c r="G487" s="244"/>
      <c r="H487" s="244"/>
      <c r="I487" s="244"/>
      <c r="J487" s="244"/>
      <c r="K487" s="244"/>
      <c r="L487" s="244"/>
      <c r="M487" s="244"/>
      <c r="N487" s="244"/>
      <c r="O487" s="244"/>
    </row>
    <row r="488" spans="2:15" x14ac:dyDescent="0.2">
      <c r="B488" s="244"/>
      <c r="C488" s="244"/>
      <c r="D488" s="244"/>
      <c r="E488" s="244"/>
      <c r="F488" s="244"/>
      <c r="G488" s="244"/>
      <c r="H488" s="244"/>
      <c r="I488" s="244"/>
      <c r="J488" s="244"/>
      <c r="K488" s="244"/>
      <c r="L488" s="244"/>
      <c r="M488" s="244"/>
      <c r="N488" s="244"/>
      <c r="O488" s="244"/>
    </row>
    <row r="489" spans="2:15" x14ac:dyDescent="0.2">
      <c r="B489" s="244"/>
      <c r="C489" s="244"/>
      <c r="D489" s="244"/>
      <c r="E489" s="244"/>
      <c r="F489" s="244"/>
      <c r="G489" s="244"/>
      <c r="H489" s="244"/>
      <c r="I489" s="244"/>
      <c r="J489" s="244"/>
      <c r="K489" s="244"/>
      <c r="L489" s="244"/>
      <c r="M489" s="244"/>
      <c r="N489" s="244"/>
      <c r="O489" s="244"/>
    </row>
    <row r="490" spans="2:15" x14ac:dyDescent="0.2">
      <c r="B490" s="244"/>
      <c r="C490" s="244"/>
      <c r="D490" s="244"/>
      <c r="E490" s="244"/>
      <c r="F490" s="244"/>
      <c r="G490" s="244"/>
      <c r="H490" s="244"/>
      <c r="I490" s="244"/>
      <c r="J490" s="244"/>
      <c r="K490" s="244"/>
      <c r="L490" s="244"/>
      <c r="M490" s="244"/>
      <c r="N490" s="244"/>
      <c r="O490" s="244"/>
    </row>
    <row r="491" spans="2:15" x14ac:dyDescent="0.2">
      <c r="B491" s="244"/>
      <c r="C491" s="244"/>
      <c r="D491" s="244"/>
      <c r="E491" s="244"/>
      <c r="F491" s="244"/>
      <c r="G491" s="244"/>
      <c r="H491" s="244"/>
      <c r="I491" s="244"/>
      <c r="J491" s="244"/>
      <c r="K491" s="244"/>
      <c r="L491" s="244"/>
      <c r="M491" s="244"/>
      <c r="N491" s="244"/>
      <c r="O491" s="244"/>
    </row>
    <row r="492" spans="2:15" x14ac:dyDescent="0.2">
      <c r="B492" s="244"/>
      <c r="C492" s="244"/>
      <c r="D492" s="244"/>
      <c r="E492" s="244"/>
      <c r="F492" s="244"/>
      <c r="G492" s="244"/>
      <c r="H492" s="244"/>
      <c r="I492" s="244"/>
      <c r="J492" s="244"/>
      <c r="K492" s="244"/>
      <c r="L492" s="244"/>
      <c r="M492" s="244"/>
      <c r="N492" s="244"/>
      <c r="O492" s="244"/>
    </row>
    <row r="493" spans="2:15" x14ac:dyDescent="0.2">
      <c r="B493" s="244"/>
      <c r="C493" s="244"/>
      <c r="D493" s="244"/>
      <c r="E493" s="244"/>
      <c r="F493" s="244"/>
      <c r="G493" s="244"/>
      <c r="H493" s="244"/>
      <c r="I493" s="244"/>
      <c r="J493" s="244"/>
      <c r="K493" s="244"/>
      <c r="L493" s="244"/>
      <c r="M493" s="244"/>
      <c r="N493" s="244"/>
      <c r="O493" s="244"/>
    </row>
    <row r="494" spans="2:15" x14ac:dyDescent="0.2">
      <c r="B494" s="244"/>
      <c r="C494" s="244"/>
      <c r="D494" s="244"/>
      <c r="E494" s="244"/>
      <c r="F494" s="244"/>
      <c r="G494" s="244"/>
      <c r="H494" s="244"/>
      <c r="I494" s="244"/>
      <c r="J494" s="244"/>
      <c r="K494" s="244"/>
      <c r="L494" s="244"/>
      <c r="M494" s="244"/>
      <c r="N494" s="244"/>
      <c r="O494" s="244"/>
    </row>
    <row r="495" spans="2:15" x14ac:dyDescent="0.2">
      <c r="B495" s="244"/>
      <c r="C495" s="244"/>
      <c r="D495" s="244"/>
      <c r="E495" s="244"/>
      <c r="F495" s="244"/>
      <c r="G495" s="244"/>
      <c r="H495" s="244"/>
      <c r="I495" s="244"/>
      <c r="J495" s="244"/>
      <c r="K495" s="244"/>
      <c r="L495" s="244"/>
      <c r="M495" s="244"/>
      <c r="N495" s="244"/>
      <c r="O495" s="244"/>
    </row>
    <row r="496" spans="2:15" x14ac:dyDescent="0.2">
      <c r="B496" s="244"/>
      <c r="C496" s="244"/>
      <c r="D496" s="244"/>
      <c r="E496" s="244"/>
      <c r="F496" s="244"/>
      <c r="G496" s="244"/>
      <c r="H496" s="244"/>
      <c r="I496" s="244"/>
      <c r="J496" s="244"/>
      <c r="K496" s="244"/>
      <c r="L496" s="244"/>
      <c r="M496" s="244"/>
      <c r="N496" s="244"/>
      <c r="O496" s="244"/>
    </row>
    <row r="497" spans="2:15" x14ac:dyDescent="0.2">
      <c r="B497" s="244"/>
      <c r="C497" s="244"/>
      <c r="D497" s="244"/>
      <c r="E497" s="244"/>
      <c r="F497" s="244"/>
      <c r="G497" s="244"/>
      <c r="H497" s="244"/>
      <c r="I497" s="244"/>
      <c r="J497" s="244"/>
      <c r="K497" s="244"/>
      <c r="L497" s="244"/>
      <c r="M497" s="244"/>
      <c r="N497" s="244"/>
      <c r="O497" s="244"/>
    </row>
    <row r="498" spans="2:15" x14ac:dyDescent="0.2">
      <c r="B498" s="244"/>
      <c r="C498" s="244"/>
      <c r="D498" s="244"/>
      <c r="E498" s="244"/>
      <c r="F498" s="244"/>
      <c r="G498" s="244"/>
      <c r="H498" s="244"/>
      <c r="I498" s="244"/>
      <c r="J498" s="244"/>
      <c r="K498" s="244"/>
      <c r="L498" s="244"/>
      <c r="M498" s="244"/>
      <c r="N498" s="244"/>
      <c r="O498" s="244"/>
    </row>
    <row r="499" spans="2:15" x14ac:dyDescent="0.2">
      <c r="B499" s="244"/>
      <c r="C499" s="244"/>
      <c r="D499" s="244"/>
      <c r="E499" s="244"/>
      <c r="F499" s="244"/>
      <c r="G499" s="244"/>
      <c r="H499" s="244"/>
      <c r="I499" s="244"/>
      <c r="J499" s="244"/>
      <c r="K499" s="244"/>
      <c r="L499" s="244"/>
      <c r="M499" s="244"/>
      <c r="N499" s="244"/>
      <c r="O499" s="244"/>
    </row>
    <row r="500" spans="2:15" x14ac:dyDescent="0.2">
      <c r="B500" s="244"/>
      <c r="C500" s="244"/>
      <c r="D500" s="244"/>
      <c r="E500" s="244"/>
      <c r="F500" s="244"/>
      <c r="G500" s="244"/>
      <c r="H500" s="244"/>
      <c r="I500" s="244"/>
      <c r="J500" s="244"/>
      <c r="K500" s="244"/>
      <c r="L500" s="244"/>
      <c r="M500" s="244"/>
      <c r="N500" s="244"/>
      <c r="O500" s="244"/>
    </row>
    <row r="501" spans="2:15" x14ac:dyDescent="0.2">
      <c r="B501" s="244"/>
      <c r="C501" s="244"/>
      <c r="D501" s="244"/>
      <c r="E501" s="244"/>
      <c r="F501" s="244"/>
      <c r="G501" s="244"/>
      <c r="H501" s="244"/>
      <c r="I501" s="244"/>
      <c r="J501" s="244"/>
      <c r="K501" s="244"/>
      <c r="L501" s="244"/>
      <c r="M501" s="244"/>
      <c r="N501" s="244"/>
      <c r="O501" s="244"/>
    </row>
    <row r="502" spans="2:15" x14ac:dyDescent="0.2">
      <c r="B502" s="244"/>
      <c r="C502" s="244"/>
      <c r="D502" s="244"/>
      <c r="E502" s="244"/>
      <c r="F502" s="244"/>
      <c r="G502" s="244"/>
      <c r="H502" s="244"/>
      <c r="I502" s="244"/>
      <c r="J502" s="244"/>
      <c r="K502" s="244"/>
      <c r="L502" s="244"/>
      <c r="M502" s="244"/>
      <c r="N502" s="244"/>
      <c r="O502" s="244"/>
    </row>
  </sheetData>
  <mergeCells count="18">
    <mergeCell ref="I6:N6"/>
    <mergeCell ref="I1:N1"/>
    <mergeCell ref="I2:N2"/>
    <mergeCell ref="I3:N3"/>
    <mergeCell ref="I4:N4"/>
    <mergeCell ref="I5:N5"/>
    <mergeCell ref="A8:N8"/>
    <mergeCell ref="A9:N9"/>
    <mergeCell ref="A10:N10"/>
    <mergeCell ref="A13:A14"/>
    <mergeCell ref="B13:B14"/>
    <mergeCell ref="C13:D13"/>
    <mergeCell ref="F13:N13"/>
    <mergeCell ref="C15:D15"/>
    <mergeCell ref="F15:N15"/>
    <mergeCell ref="B17:D17"/>
    <mergeCell ref="B388:D388"/>
    <mergeCell ref="B422:N423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06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02"/>
  <sheetViews>
    <sheetView topLeftCell="A317" zoomScale="70" zoomScaleNormal="70" zoomScaleSheetLayoutView="70" workbookViewId="0">
      <selection activeCell="L324" sqref="L324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6" width="16.28515625" customWidth="1"/>
    <col min="7" max="7" width="15.7109375" customWidth="1"/>
    <col min="8" max="8" width="18.28515625" customWidth="1"/>
    <col min="9" max="9" width="18" customWidth="1"/>
    <col min="10" max="10" width="16.7109375" customWidth="1"/>
    <col min="11" max="12" width="18" customWidth="1"/>
    <col min="13" max="13" width="19" customWidth="1"/>
    <col min="14" max="14" width="22.28515625" customWidth="1"/>
    <col min="15" max="15" width="16.42578125" customWidth="1"/>
    <col min="16" max="16" width="12.7109375" customWidth="1"/>
    <col min="17" max="17" width="18.8554687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255"/>
      <c r="P1" s="255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255"/>
      <c r="P2" s="255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255"/>
      <c r="P3" s="255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255"/>
      <c r="P4" s="255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486</v>
      </c>
      <c r="J5" s="440"/>
      <c r="K5" s="440"/>
      <c r="L5" s="440"/>
      <c r="M5" s="440"/>
      <c r="N5" s="440"/>
      <c r="O5" s="255"/>
      <c r="P5" s="255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255"/>
      <c r="P6" s="255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256"/>
      <c r="P8" s="256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256"/>
      <c r="P9" s="256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257"/>
      <c r="P10" s="257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258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66" t="s">
        <v>15</v>
      </c>
      <c r="J14" s="167" t="s">
        <v>13</v>
      </c>
      <c r="K14" s="167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259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173" t="s">
        <v>20</v>
      </c>
      <c r="C16" s="173"/>
      <c r="D16" s="174"/>
      <c r="E16" s="175"/>
      <c r="F16" s="176">
        <f t="shared" ref="F16:N16" si="0">F17+F388</f>
        <v>730412.80000000016</v>
      </c>
      <c r="G16" s="176">
        <f t="shared" si="0"/>
        <v>8586.4000000000015</v>
      </c>
      <c r="H16" s="176">
        <f t="shared" si="0"/>
        <v>738999.20000000019</v>
      </c>
      <c r="I16" s="177">
        <f t="shared" si="0"/>
        <v>2674596.6000000006</v>
      </c>
      <c r="J16" s="176">
        <f t="shared" si="0"/>
        <v>-744760.79999999993</v>
      </c>
      <c r="K16" s="177">
        <f t="shared" si="0"/>
        <v>1929835.8</v>
      </c>
      <c r="L16" s="177">
        <f>L17+L388</f>
        <v>3405009.4</v>
      </c>
      <c r="M16" s="176">
        <f t="shared" si="0"/>
        <v>-736174.4</v>
      </c>
      <c r="N16" s="177">
        <f t="shared" si="0"/>
        <v>2668835</v>
      </c>
      <c r="O16" s="178"/>
      <c r="P16" s="92"/>
    </row>
    <row r="17" spans="1:17" ht="32.450000000000003" customHeight="1" x14ac:dyDescent="0.2">
      <c r="A17" s="16" t="s">
        <v>21</v>
      </c>
      <c r="B17" s="445" t="s">
        <v>22</v>
      </c>
      <c r="C17" s="446"/>
      <c r="D17" s="446"/>
      <c r="E17" s="260"/>
      <c r="F17" s="180">
        <f t="shared" ref="F17:N17" si="1">F18+F34+F39+F79+F91+F135+F209+F244+F253+F301+F324+F342+F377+F381</f>
        <v>684256.00000000012</v>
      </c>
      <c r="G17" s="180">
        <f t="shared" si="1"/>
        <v>8586.4000000000015</v>
      </c>
      <c r="H17" s="180">
        <f t="shared" si="1"/>
        <v>692842.40000000014</v>
      </c>
      <c r="I17" s="181">
        <f t="shared" si="1"/>
        <v>2673828.5000000005</v>
      </c>
      <c r="J17" s="180">
        <f t="shared" si="1"/>
        <v>-744760.79999999993</v>
      </c>
      <c r="K17" s="181">
        <f t="shared" si="1"/>
        <v>1929067.7</v>
      </c>
      <c r="L17" s="180">
        <f t="shared" si="1"/>
        <v>3358084.5</v>
      </c>
      <c r="M17" s="180">
        <f t="shared" si="1"/>
        <v>-736174.4</v>
      </c>
      <c r="N17" s="180">
        <f t="shared" si="1"/>
        <v>2621910.1</v>
      </c>
      <c r="O17" s="178"/>
      <c r="P17" s="92"/>
    </row>
    <row r="18" spans="1:17" ht="22.15" customHeight="1" x14ac:dyDescent="0.2">
      <c r="A18" s="19" t="s">
        <v>23</v>
      </c>
      <c r="B18" s="182" t="s">
        <v>24</v>
      </c>
      <c r="C18" s="183" t="s">
        <v>25</v>
      </c>
      <c r="D18" s="184" t="s">
        <v>26</v>
      </c>
      <c r="E18" s="185"/>
      <c r="F18" s="186">
        <f t="shared" ref="F18:N18" si="2">F19+F25</f>
        <v>15336.800000000003</v>
      </c>
      <c r="G18" s="186">
        <f t="shared" si="2"/>
        <v>0</v>
      </c>
      <c r="H18" s="186">
        <f t="shared" si="2"/>
        <v>15336.800000000003</v>
      </c>
      <c r="I18" s="187">
        <f t="shared" si="2"/>
        <v>556</v>
      </c>
      <c r="J18" s="186">
        <f>J19+J25</f>
        <v>0</v>
      </c>
      <c r="K18" s="187">
        <f t="shared" si="2"/>
        <v>556</v>
      </c>
      <c r="L18" s="186">
        <f t="shared" si="2"/>
        <v>15892.800000000003</v>
      </c>
      <c r="M18" s="186">
        <f t="shared" si="2"/>
        <v>0</v>
      </c>
      <c r="N18" s="186">
        <f t="shared" si="2"/>
        <v>15892.800000000003</v>
      </c>
      <c r="O18" s="178"/>
      <c r="P18" s="92"/>
      <c r="Q18" s="25"/>
    </row>
    <row r="19" spans="1:17" ht="47.25" x14ac:dyDescent="0.2">
      <c r="A19" s="42"/>
      <c r="B19" s="168" t="s">
        <v>27</v>
      </c>
      <c r="C19" s="169" t="s">
        <v>28</v>
      </c>
      <c r="D19" s="170" t="s">
        <v>26</v>
      </c>
      <c r="E19" s="171"/>
      <c r="F19" s="172">
        <f>F20+F23</f>
        <v>2647.8</v>
      </c>
      <c r="G19" s="172">
        <f>G20+G23</f>
        <v>0</v>
      </c>
      <c r="H19" s="172">
        <f>H20+H23</f>
        <v>2647.8</v>
      </c>
      <c r="I19" s="188">
        <f>I20+I23</f>
        <v>400</v>
      </c>
      <c r="J19" s="189"/>
      <c r="K19" s="188">
        <f>K20+K23</f>
        <v>400</v>
      </c>
      <c r="L19" s="172">
        <f>L20+L23</f>
        <v>3047.8</v>
      </c>
      <c r="M19" s="172">
        <f>M20+M23</f>
        <v>0</v>
      </c>
      <c r="N19" s="172">
        <f>N20+N23</f>
        <v>3047.8</v>
      </c>
      <c r="O19" s="178"/>
      <c r="P19" s="92"/>
      <c r="Q19" s="48"/>
    </row>
    <row r="20" spans="1:17" ht="47.25" x14ac:dyDescent="0.2">
      <c r="A20" s="42"/>
      <c r="B20" s="168" t="s">
        <v>29</v>
      </c>
      <c r="C20" s="169" t="s">
        <v>30</v>
      </c>
      <c r="D20" s="170" t="s">
        <v>26</v>
      </c>
      <c r="E20" s="171"/>
      <c r="F20" s="172">
        <f>SUM(F21+F22)</f>
        <v>1872.3</v>
      </c>
      <c r="G20" s="172">
        <f>SUM(G21)</f>
        <v>16.8</v>
      </c>
      <c r="H20" s="172">
        <f>SUM(F20)+G20</f>
        <v>1889.1</v>
      </c>
      <c r="I20" s="188">
        <f t="shared" ref="I20:N20" si="3">I21+I22</f>
        <v>400</v>
      </c>
      <c r="J20" s="189">
        <f t="shared" si="3"/>
        <v>0</v>
      </c>
      <c r="K20" s="188">
        <f t="shared" si="3"/>
        <v>400</v>
      </c>
      <c r="L20" s="172">
        <f t="shared" si="3"/>
        <v>2272.3000000000002</v>
      </c>
      <c r="M20" s="172">
        <f t="shared" si="3"/>
        <v>16.8</v>
      </c>
      <c r="N20" s="172">
        <f t="shared" si="3"/>
        <v>2289.1</v>
      </c>
      <c r="O20" s="178"/>
      <c r="P20" s="92"/>
    </row>
    <row r="21" spans="1:17" ht="67.900000000000006" customHeight="1" x14ac:dyDescent="0.2">
      <c r="A21" s="42"/>
      <c r="B21" s="168" t="s">
        <v>31</v>
      </c>
      <c r="C21" s="169" t="s">
        <v>30</v>
      </c>
      <c r="D21" s="170" t="s">
        <v>32</v>
      </c>
      <c r="E21" s="171"/>
      <c r="F21" s="172">
        <v>1801.3</v>
      </c>
      <c r="G21" s="172">
        <v>16.8</v>
      </c>
      <c r="H21" s="172">
        <f>1801.3+G21</f>
        <v>1818.1</v>
      </c>
      <c r="I21" s="188">
        <v>288.2</v>
      </c>
      <c r="J21" s="189"/>
      <c r="K21" s="188">
        <f>SUM(I21:J21)</f>
        <v>288.2</v>
      </c>
      <c r="L21" s="172">
        <f t="shared" ref="L21:N22" si="4">F21+I21</f>
        <v>2089.5</v>
      </c>
      <c r="M21" s="172">
        <f t="shared" si="4"/>
        <v>16.8</v>
      </c>
      <c r="N21" s="172">
        <f t="shared" si="4"/>
        <v>2106.2999999999997</v>
      </c>
      <c r="O21" s="178"/>
      <c r="P21" s="92"/>
    </row>
    <row r="22" spans="1:17" ht="37.15" customHeight="1" x14ac:dyDescent="0.2">
      <c r="A22" s="42"/>
      <c r="B22" s="168" t="s">
        <v>35</v>
      </c>
      <c r="C22" s="169" t="s">
        <v>30</v>
      </c>
      <c r="D22" s="170" t="s">
        <v>36</v>
      </c>
      <c r="E22" s="171"/>
      <c r="F22" s="172">
        <v>71</v>
      </c>
      <c r="G22" s="172"/>
      <c r="H22" s="172">
        <v>71</v>
      </c>
      <c r="I22" s="188">
        <v>111.8</v>
      </c>
      <c r="J22" s="189"/>
      <c r="K22" s="188">
        <f>SUM(I22:J22)</f>
        <v>111.8</v>
      </c>
      <c r="L22" s="172">
        <f t="shared" si="4"/>
        <v>182.8</v>
      </c>
      <c r="M22" s="172">
        <f t="shared" si="4"/>
        <v>0</v>
      </c>
      <c r="N22" s="172">
        <f t="shared" si="4"/>
        <v>182.8</v>
      </c>
      <c r="O22" s="178"/>
      <c r="P22" s="92"/>
    </row>
    <row r="23" spans="1:17" ht="36" customHeight="1" x14ac:dyDescent="0.2">
      <c r="A23" s="42"/>
      <c r="B23" s="168" t="s">
        <v>33</v>
      </c>
      <c r="C23" s="169" t="s">
        <v>34</v>
      </c>
      <c r="D23" s="170" t="s">
        <v>26</v>
      </c>
      <c r="E23" s="171"/>
      <c r="F23" s="172">
        <f>F24</f>
        <v>775.5</v>
      </c>
      <c r="G23" s="172">
        <f>G24</f>
        <v>-16.8</v>
      </c>
      <c r="H23" s="172">
        <f>H24</f>
        <v>758.7</v>
      </c>
      <c r="I23" s="188">
        <f>I24</f>
        <v>0</v>
      </c>
      <c r="J23" s="189"/>
      <c r="K23" s="188">
        <f>K24</f>
        <v>0</v>
      </c>
      <c r="L23" s="172">
        <f>L24</f>
        <v>775.5</v>
      </c>
      <c r="M23" s="172">
        <f>M24</f>
        <v>-16.8</v>
      </c>
      <c r="N23" s="172">
        <f>N24</f>
        <v>758.7</v>
      </c>
      <c r="O23" s="178"/>
      <c r="P23" s="92"/>
    </row>
    <row r="24" spans="1:17" ht="31.5" x14ac:dyDescent="0.2">
      <c r="A24" s="42"/>
      <c r="B24" s="168" t="s">
        <v>35</v>
      </c>
      <c r="C24" s="169" t="s">
        <v>34</v>
      </c>
      <c r="D24" s="170" t="s">
        <v>36</v>
      </c>
      <c r="E24" s="171"/>
      <c r="F24" s="172">
        <v>775.5</v>
      </c>
      <c r="G24" s="172">
        <v>-16.8</v>
      </c>
      <c r="H24" s="172">
        <f>SUM(F24)+G24</f>
        <v>758.7</v>
      </c>
      <c r="I24" s="188">
        <v>0</v>
      </c>
      <c r="J24" s="189"/>
      <c r="K24" s="188">
        <v>0</v>
      </c>
      <c r="L24" s="172">
        <f>SUM(F24)</f>
        <v>775.5</v>
      </c>
      <c r="M24" s="172">
        <f>SUM(G24)</f>
        <v>-16.8</v>
      </c>
      <c r="N24" s="172">
        <f>SUM(L24)+M24</f>
        <v>758.7</v>
      </c>
      <c r="O24" s="178"/>
      <c r="P24" s="92"/>
    </row>
    <row r="25" spans="1:17" ht="47.25" x14ac:dyDescent="0.2">
      <c r="A25" s="42"/>
      <c r="B25" s="168" t="s">
        <v>37</v>
      </c>
      <c r="C25" s="169" t="s">
        <v>38</v>
      </c>
      <c r="D25" s="170" t="s">
        <v>26</v>
      </c>
      <c r="E25" s="171"/>
      <c r="F25" s="172">
        <f>F26+F30</f>
        <v>12689.000000000002</v>
      </c>
      <c r="G25" s="172">
        <f>G26+G30</f>
        <v>0</v>
      </c>
      <c r="H25" s="172">
        <f>H26+H30</f>
        <v>12689.000000000002</v>
      </c>
      <c r="I25" s="188">
        <f>I26+I30+I32</f>
        <v>156</v>
      </c>
      <c r="J25" s="189">
        <f>SUM(J32)</f>
        <v>0</v>
      </c>
      <c r="K25" s="188">
        <f>K26+K30+K32</f>
        <v>156</v>
      </c>
      <c r="L25" s="172">
        <f>L26+L30+L33</f>
        <v>12845.000000000002</v>
      </c>
      <c r="M25" s="172">
        <f>M26+M30+J25</f>
        <v>0</v>
      </c>
      <c r="N25" s="172">
        <f>N26+N30+N33</f>
        <v>12845.000000000002</v>
      </c>
      <c r="O25" s="178"/>
      <c r="P25" s="92"/>
    </row>
    <row r="26" spans="1:17" ht="31.5" x14ac:dyDescent="0.2">
      <c r="A26" s="42"/>
      <c r="B26" s="168" t="s">
        <v>39</v>
      </c>
      <c r="C26" s="169" t="s">
        <v>40</v>
      </c>
      <c r="D26" s="170" t="s">
        <v>26</v>
      </c>
      <c r="E26" s="171"/>
      <c r="F26" s="172">
        <f>F27+F28+F29</f>
        <v>11883.900000000001</v>
      </c>
      <c r="G26" s="172">
        <f>G27+G28+G29</f>
        <v>0</v>
      </c>
      <c r="H26" s="172">
        <f>H27+H28+H29</f>
        <v>11883.900000000001</v>
      </c>
      <c r="I26" s="188">
        <f>I27+I28+I29</f>
        <v>0</v>
      </c>
      <c r="J26" s="189">
        <f>SUM(I27)+J28</f>
        <v>0</v>
      </c>
      <c r="K26" s="188">
        <f>K27+K28+K29</f>
        <v>0</v>
      </c>
      <c r="L26" s="172">
        <f>L27+L28+L29</f>
        <v>11883.900000000001</v>
      </c>
      <c r="M26" s="172">
        <f>M27+M28+M29</f>
        <v>0</v>
      </c>
      <c r="N26" s="172">
        <f>N27+N28+N29</f>
        <v>11883.900000000001</v>
      </c>
      <c r="O26" s="178"/>
      <c r="P26" s="92"/>
    </row>
    <row r="27" spans="1:17" ht="67.900000000000006" customHeight="1" x14ac:dyDescent="0.2">
      <c r="A27" s="42"/>
      <c r="B27" s="168" t="s">
        <v>31</v>
      </c>
      <c r="C27" s="169" t="s">
        <v>40</v>
      </c>
      <c r="D27" s="170" t="s">
        <v>32</v>
      </c>
      <c r="E27" s="171"/>
      <c r="F27" s="172">
        <v>8949.5</v>
      </c>
      <c r="G27" s="172"/>
      <c r="H27" s="172">
        <f>SUM(F27)+G27</f>
        <v>8949.5</v>
      </c>
      <c r="I27" s="188">
        <v>0</v>
      </c>
      <c r="J27" s="189"/>
      <c r="K27" s="188">
        <v>0</v>
      </c>
      <c r="L27" s="172">
        <f>SUM(F27)</f>
        <v>8949.5</v>
      </c>
      <c r="M27" s="172">
        <f>SUM(G27)</f>
        <v>0</v>
      </c>
      <c r="N27" s="172">
        <f>SUM(H27)</f>
        <v>8949.5</v>
      </c>
      <c r="O27" s="178"/>
      <c r="P27" s="92"/>
    </row>
    <row r="28" spans="1:17" ht="31.5" x14ac:dyDescent="0.2">
      <c r="A28" s="42"/>
      <c r="B28" s="168" t="s">
        <v>35</v>
      </c>
      <c r="C28" s="169" t="s">
        <v>40</v>
      </c>
      <c r="D28" s="170" t="s">
        <v>36</v>
      </c>
      <c r="E28" s="171"/>
      <c r="F28" s="172">
        <v>2930.7</v>
      </c>
      <c r="G28" s="172"/>
      <c r="H28" s="172">
        <f>SUM(F28)+G28</f>
        <v>2930.7</v>
      </c>
      <c r="I28" s="188">
        <v>0</v>
      </c>
      <c r="J28" s="189"/>
      <c r="K28" s="188">
        <f>SUM(J28)</f>
        <v>0</v>
      </c>
      <c r="L28" s="172">
        <f>SUM(F28)</f>
        <v>2930.7</v>
      </c>
      <c r="M28" s="172">
        <f>SUM(G28+J28)</f>
        <v>0</v>
      </c>
      <c r="N28" s="172">
        <f>SUM(H28)</f>
        <v>2930.7</v>
      </c>
      <c r="O28" s="178"/>
      <c r="P28" s="92"/>
    </row>
    <row r="29" spans="1:17" ht="18.75" x14ac:dyDescent="0.2">
      <c r="A29" s="42"/>
      <c r="B29" s="168" t="s">
        <v>41</v>
      </c>
      <c r="C29" s="169" t="s">
        <v>40</v>
      </c>
      <c r="D29" s="170" t="s">
        <v>42</v>
      </c>
      <c r="E29" s="171"/>
      <c r="F29" s="172">
        <v>3.7</v>
      </c>
      <c r="G29" s="172"/>
      <c r="H29" s="172">
        <v>3.7</v>
      </c>
      <c r="I29" s="188">
        <v>0</v>
      </c>
      <c r="J29" s="189"/>
      <c r="K29" s="188">
        <v>0</v>
      </c>
      <c r="L29" s="172">
        <v>3.7</v>
      </c>
      <c r="M29" s="172"/>
      <c r="N29" s="172">
        <v>3.7</v>
      </c>
      <c r="O29" s="178"/>
      <c r="P29" s="92"/>
    </row>
    <row r="30" spans="1:17" ht="31.5" x14ac:dyDescent="0.2">
      <c r="A30" s="42"/>
      <c r="B30" s="168" t="s">
        <v>43</v>
      </c>
      <c r="C30" s="169" t="s">
        <v>44</v>
      </c>
      <c r="D30" s="170" t="s">
        <v>26</v>
      </c>
      <c r="E30" s="171"/>
      <c r="F30" s="172">
        <f>F31</f>
        <v>805.1</v>
      </c>
      <c r="G30" s="172">
        <f>G31</f>
        <v>0</v>
      </c>
      <c r="H30" s="172">
        <f>H31</f>
        <v>805.1</v>
      </c>
      <c r="I30" s="188">
        <f>I31</f>
        <v>0</v>
      </c>
      <c r="J30" s="189"/>
      <c r="K30" s="188">
        <f>K31</f>
        <v>0</v>
      </c>
      <c r="L30" s="172">
        <f>L31</f>
        <v>805.1</v>
      </c>
      <c r="M30" s="172">
        <f>M31</f>
        <v>0</v>
      </c>
      <c r="N30" s="172">
        <f>N31</f>
        <v>805.1</v>
      </c>
      <c r="O30" s="178"/>
      <c r="P30" s="92"/>
    </row>
    <row r="31" spans="1:17" ht="31.5" x14ac:dyDescent="0.2">
      <c r="A31" s="42"/>
      <c r="B31" s="168" t="s">
        <v>35</v>
      </c>
      <c r="C31" s="169" t="s">
        <v>44</v>
      </c>
      <c r="D31" s="170" t="s">
        <v>36</v>
      </c>
      <c r="E31" s="171"/>
      <c r="F31" s="172">
        <v>805.1</v>
      </c>
      <c r="G31" s="172"/>
      <c r="H31" s="172">
        <f>SUM(F31)+G31</f>
        <v>805.1</v>
      </c>
      <c r="I31" s="188">
        <v>0</v>
      </c>
      <c r="J31" s="189"/>
      <c r="K31" s="188">
        <v>0</v>
      </c>
      <c r="L31" s="172">
        <f>SUM(F31)</f>
        <v>805.1</v>
      </c>
      <c r="M31" s="172">
        <f>SUM(G31)</f>
        <v>0</v>
      </c>
      <c r="N31" s="172">
        <f>SUM(H31)</f>
        <v>805.1</v>
      </c>
      <c r="O31" s="178"/>
      <c r="P31" s="92"/>
    </row>
    <row r="32" spans="1:17" ht="63" x14ac:dyDescent="0.2">
      <c r="A32" s="42"/>
      <c r="B32" s="158" t="s">
        <v>45</v>
      </c>
      <c r="C32" s="169" t="s">
        <v>46</v>
      </c>
      <c r="D32" s="170"/>
      <c r="E32" s="171"/>
      <c r="F32" s="172"/>
      <c r="G32" s="172"/>
      <c r="H32" s="172"/>
      <c r="I32" s="188">
        <f>SUM(I33)</f>
        <v>156</v>
      </c>
      <c r="J32" s="189">
        <f>SUM(J33)</f>
        <v>0</v>
      </c>
      <c r="K32" s="188">
        <f>SUM(I32)</f>
        <v>156</v>
      </c>
      <c r="L32" s="172">
        <f>SUM(I32)</f>
        <v>156</v>
      </c>
      <c r="M32" s="172"/>
      <c r="N32" s="172">
        <f>SUM(K32)</f>
        <v>156</v>
      </c>
      <c r="O32" s="178"/>
      <c r="P32" s="92"/>
    </row>
    <row r="33" spans="1:17" ht="31.5" x14ac:dyDescent="0.2">
      <c r="A33" s="42"/>
      <c r="B33" s="168" t="s">
        <v>35</v>
      </c>
      <c r="C33" s="169" t="s">
        <v>46</v>
      </c>
      <c r="D33" s="170" t="s">
        <v>36</v>
      </c>
      <c r="E33" s="171"/>
      <c r="F33" s="172"/>
      <c r="G33" s="172"/>
      <c r="H33" s="172"/>
      <c r="I33" s="188">
        <v>156</v>
      </c>
      <c r="J33" s="189"/>
      <c r="K33" s="188">
        <f>SUM(I33)</f>
        <v>156</v>
      </c>
      <c r="L33" s="172">
        <f>SUM(I33)</f>
        <v>156</v>
      </c>
      <c r="M33" s="172">
        <f>SUM(J33)</f>
        <v>0</v>
      </c>
      <c r="N33" s="172">
        <f>SUM(K33)</f>
        <v>156</v>
      </c>
      <c r="O33" s="178"/>
      <c r="P33" s="92"/>
    </row>
    <row r="34" spans="1:17" ht="31.5" x14ac:dyDescent="0.2">
      <c r="A34" s="19" t="s">
        <v>47</v>
      </c>
      <c r="B34" s="182" t="s">
        <v>48</v>
      </c>
      <c r="C34" s="183" t="s">
        <v>49</v>
      </c>
      <c r="D34" s="184" t="s">
        <v>26</v>
      </c>
      <c r="E34" s="185"/>
      <c r="F34" s="186">
        <f t="shared" ref="F34:N35" si="5">F35</f>
        <v>1813.8</v>
      </c>
      <c r="G34" s="186">
        <f t="shared" si="5"/>
        <v>0</v>
      </c>
      <c r="H34" s="186">
        <f t="shared" si="5"/>
        <v>1813.8</v>
      </c>
      <c r="I34" s="187">
        <f t="shared" si="5"/>
        <v>0</v>
      </c>
      <c r="J34" s="186">
        <f t="shared" si="5"/>
        <v>0</v>
      </c>
      <c r="K34" s="187">
        <f t="shared" si="5"/>
        <v>0</v>
      </c>
      <c r="L34" s="186">
        <f t="shared" si="5"/>
        <v>1813.8</v>
      </c>
      <c r="M34" s="186">
        <f t="shared" si="5"/>
        <v>0</v>
      </c>
      <c r="N34" s="186">
        <f t="shared" si="5"/>
        <v>1813.8</v>
      </c>
      <c r="O34" s="178"/>
      <c r="P34" s="92"/>
    </row>
    <row r="35" spans="1:17" ht="50.45" customHeight="1" x14ac:dyDescent="0.2">
      <c r="A35" s="42"/>
      <c r="B35" s="168" t="s">
        <v>50</v>
      </c>
      <c r="C35" s="169" t="s">
        <v>51</v>
      </c>
      <c r="D35" s="170" t="s">
        <v>26</v>
      </c>
      <c r="E35" s="171"/>
      <c r="F35" s="172">
        <f t="shared" si="5"/>
        <v>1813.8</v>
      </c>
      <c r="G35" s="172">
        <f t="shared" si="5"/>
        <v>0</v>
      </c>
      <c r="H35" s="172">
        <f t="shared" si="5"/>
        <v>1813.8</v>
      </c>
      <c r="I35" s="188">
        <f t="shared" si="5"/>
        <v>0</v>
      </c>
      <c r="J35" s="189"/>
      <c r="K35" s="188">
        <f t="shared" si="5"/>
        <v>0</v>
      </c>
      <c r="L35" s="172">
        <f t="shared" si="5"/>
        <v>1813.8</v>
      </c>
      <c r="M35" s="172">
        <f t="shared" si="5"/>
        <v>0</v>
      </c>
      <c r="N35" s="172">
        <f t="shared" si="5"/>
        <v>1813.8</v>
      </c>
      <c r="O35" s="178"/>
      <c r="P35" s="92"/>
    </row>
    <row r="36" spans="1:17" ht="36.6" customHeight="1" x14ac:dyDescent="0.2">
      <c r="A36" s="42"/>
      <c r="B36" s="168" t="s">
        <v>52</v>
      </c>
      <c r="C36" s="169" t="s">
        <v>53</v>
      </c>
      <c r="D36" s="170" t="s">
        <v>26</v>
      </c>
      <c r="E36" s="171"/>
      <c r="F36" s="172">
        <f>F37+F38</f>
        <v>1813.8</v>
      </c>
      <c r="G36" s="172">
        <f>G37+G38</f>
        <v>0</v>
      </c>
      <c r="H36" s="172">
        <f>H37+H38</f>
        <v>1813.8</v>
      </c>
      <c r="I36" s="188">
        <f>I37+I38</f>
        <v>0</v>
      </c>
      <c r="J36" s="189"/>
      <c r="K36" s="188">
        <f>K37+K38</f>
        <v>0</v>
      </c>
      <c r="L36" s="172">
        <f>L37+L38</f>
        <v>1813.8</v>
      </c>
      <c r="M36" s="172">
        <f>M37+M38</f>
        <v>0</v>
      </c>
      <c r="N36" s="172">
        <f>N37+N38</f>
        <v>1813.8</v>
      </c>
      <c r="O36" s="178"/>
      <c r="P36" s="92"/>
    </row>
    <row r="37" spans="1:17" ht="31.5" x14ac:dyDescent="0.2">
      <c r="A37" s="42"/>
      <c r="B37" s="168" t="s">
        <v>35</v>
      </c>
      <c r="C37" s="169" t="s">
        <v>53</v>
      </c>
      <c r="D37" s="170" t="s">
        <v>36</v>
      </c>
      <c r="E37" s="171"/>
      <c r="F37" s="172">
        <v>300</v>
      </c>
      <c r="G37" s="172"/>
      <c r="H37" s="172">
        <v>300</v>
      </c>
      <c r="I37" s="188"/>
      <c r="J37" s="189"/>
      <c r="K37" s="188"/>
      <c r="L37" s="172">
        <v>300</v>
      </c>
      <c r="M37" s="172"/>
      <c r="N37" s="172">
        <v>300</v>
      </c>
      <c r="O37" s="178"/>
      <c r="P37" s="92"/>
    </row>
    <row r="38" spans="1:17" ht="18.75" x14ac:dyDescent="0.2">
      <c r="A38" s="42"/>
      <c r="B38" s="168" t="s">
        <v>54</v>
      </c>
      <c r="C38" s="169" t="s">
        <v>53</v>
      </c>
      <c r="D38" s="170" t="s">
        <v>55</v>
      </c>
      <c r="E38" s="171"/>
      <c r="F38" s="172">
        <v>1513.8</v>
      </c>
      <c r="G38" s="172"/>
      <c r="H38" s="172">
        <v>1513.8</v>
      </c>
      <c r="I38" s="188"/>
      <c r="J38" s="189"/>
      <c r="K38" s="188"/>
      <c r="L38" s="172">
        <v>1513.8</v>
      </c>
      <c r="M38" s="172"/>
      <c r="N38" s="172">
        <v>1513.8</v>
      </c>
      <c r="O38" s="178"/>
      <c r="P38" s="92"/>
    </row>
    <row r="39" spans="1:17" ht="31.5" x14ac:dyDescent="0.2">
      <c r="A39" s="19" t="s">
        <v>56</v>
      </c>
      <c r="B39" s="182" t="s">
        <v>57</v>
      </c>
      <c r="C39" s="183" t="s">
        <v>58</v>
      </c>
      <c r="D39" s="184" t="s">
        <v>26</v>
      </c>
      <c r="E39" s="185"/>
      <c r="F39" s="186">
        <f t="shared" ref="F39:N39" si="6">F40+F48+F73</f>
        <v>141470.29999999999</v>
      </c>
      <c r="G39" s="186">
        <f>G40+G48+G73</f>
        <v>881.8</v>
      </c>
      <c r="H39" s="186">
        <f t="shared" si="6"/>
        <v>142352.1</v>
      </c>
      <c r="I39" s="187">
        <f t="shared" si="6"/>
        <v>22124.100000000002</v>
      </c>
      <c r="J39" s="186">
        <f t="shared" si="6"/>
        <v>0</v>
      </c>
      <c r="K39" s="187">
        <f t="shared" si="6"/>
        <v>22124.100000000002</v>
      </c>
      <c r="L39" s="186">
        <f t="shared" si="6"/>
        <v>163594.4</v>
      </c>
      <c r="M39" s="186">
        <f t="shared" si="6"/>
        <v>881.8</v>
      </c>
      <c r="N39" s="186">
        <f t="shared" si="6"/>
        <v>164476.20000000001</v>
      </c>
      <c r="O39" s="178"/>
      <c r="P39" s="92"/>
      <c r="Q39" s="25"/>
    </row>
    <row r="40" spans="1:17" ht="18.75" x14ac:dyDescent="0.2">
      <c r="A40" s="49"/>
      <c r="B40" s="190" t="s">
        <v>59</v>
      </c>
      <c r="C40" s="191" t="s">
        <v>60</v>
      </c>
      <c r="D40" s="192" t="s">
        <v>26</v>
      </c>
      <c r="E40" s="193"/>
      <c r="F40" s="194">
        <f>F41</f>
        <v>7359.9</v>
      </c>
      <c r="G40" s="194">
        <f>G41</f>
        <v>0</v>
      </c>
      <c r="H40" s="194">
        <f>H41</f>
        <v>7359.9</v>
      </c>
      <c r="I40" s="195">
        <f>I41</f>
        <v>0</v>
      </c>
      <c r="J40" s="196"/>
      <c r="K40" s="195">
        <f>K41</f>
        <v>0</v>
      </c>
      <c r="L40" s="194">
        <f>L41</f>
        <v>7359.9</v>
      </c>
      <c r="M40" s="194">
        <f>M41</f>
        <v>0</v>
      </c>
      <c r="N40" s="194">
        <f>N41</f>
        <v>7359.9</v>
      </c>
      <c r="O40" s="178"/>
      <c r="P40" s="92"/>
    </row>
    <row r="41" spans="1:17" ht="18.75" x14ac:dyDescent="0.2">
      <c r="A41" s="42"/>
      <c r="B41" s="168" t="s">
        <v>61</v>
      </c>
      <c r="C41" s="169" t="s">
        <v>62</v>
      </c>
      <c r="D41" s="170" t="s">
        <v>26</v>
      </c>
      <c r="E41" s="171"/>
      <c r="F41" s="172">
        <f>F42+F44+F46</f>
        <v>7359.9</v>
      </c>
      <c r="G41" s="172">
        <f>G42+G44+G46</f>
        <v>0</v>
      </c>
      <c r="H41" s="172">
        <f>H42+H44+H46</f>
        <v>7359.9</v>
      </c>
      <c r="I41" s="188">
        <f>I42+I44+I46</f>
        <v>0</v>
      </c>
      <c r="J41" s="189"/>
      <c r="K41" s="188">
        <f>K42+K44+K46</f>
        <v>0</v>
      </c>
      <c r="L41" s="172">
        <f>L42+L44+L46</f>
        <v>7359.9</v>
      </c>
      <c r="M41" s="172">
        <f>M42+M44+M46</f>
        <v>0</v>
      </c>
      <c r="N41" s="172">
        <f>N42+N44+N46</f>
        <v>7359.9</v>
      </c>
      <c r="O41" s="178"/>
      <c r="P41" s="92"/>
    </row>
    <row r="42" spans="1:17" ht="18.75" x14ac:dyDescent="0.2">
      <c r="A42" s="42"/>
      <c r="B42" s="168" t="s">
        <v>63</v>
      </c>
      <c r="C42" s="169" t="s">
        <v>64</v>
      </c>
      <c r="D42" s="170" t="s">
        <v>26</v>
      </c>
      <c r="E42" s="171"/>
      <c r="F42" s="172">
        <f>F43</f>
        <v>6459.9</v>
      </c>
      <c r="G42" s="172">
        <f>G43</f>
        <v>0</v>
      </c>
      <c r="H42" s="172">
        <f>H43</f>
        <v>6459.9</v>
      </c>
      <c r="I42" s="188">
        <f>I43</f>
        <v>0</v>
      </c>
      <c r="J42" s="189"/>
      <c r="K42" s="188">
        <f>K43</f>
        <v>0</v>
      </c>
      <c r="L42" s="172">
        <f>L43</f>
        <v>6459.9</v>
      </c>
      <c r="M42" s="172">
        <f>M43</f>
        <v>0</v>
      </c>
      <c r="N42" s="172">
        <f>N43</f>
        <v>6459.9</v>
      </c>
      <c r="O42" s="178"/>
      <c r="P42" s="92"/>
    </row>
    <row r="43" spans="1:17" ht="31.5" x14ac:dyDescent="0.2">
      <c r="A43" s="42"/>
      <c r="B43" s="168" t="s">
        <v>35</v>
      </c>
      <c r="C43" s="169" t="s">
        <v>64</v>
      </c>
      <c r="D43" s="170" t="s">
        <v>36</v>
      </c>
      <c r="E43" s="171"/>
      <c r="F43" s="172">
        <v>6459.9</v>
      </c>
      <c r="G43" s="172"/>
      <c r="H43" s="172">
        <f>SUM(F43)+G43</f>
        <v>6459.9</v>
      </c>
      <c r="I43" s="188">
        <v>0</v>
      </c>
      <c r="J43" s="189"/>
      <c r="K43" s="188">
        <v>0</v>
      </c>
      <c r="L43" s="172">
        <f>SUM(F43)</f>
        <v>6459.9</v>
      </c>
      <c r="M43" s="172">
        <f>SUM(G43)</f>
        <v>0</v>
      </c>
      <c r="N43" s="172">
        <f>SUM(L43)+M43</f>
        <v>6459.9</v>
      </c>
      <c r="O43" s="178"/>
      <c r="P43" s="92"/>
    </row>
    <row r="44" spans="1:17" ht="18.75" x14ac:dyDescent="0.2">
      <c r="A44" s="42"/>
      <c r="B44" s="168" t="s">
        <v>65</v>
      </c>
      <c r="C44" s="169" t="s">
        <v>66</v>
      </c>
      <c r="D44" s="170" t="s">
        <v>26</v>
      </c>
      <c r="E44" s="171"/>
      <c r="F44" s="172">
        <f>F45</f>
        <v>900</v>
      </c>
      <c r="G44" s="172">
        <f>G45</f>
        <v>0</v>
      </c>
      <c r="H44" s="172">
        <f>H45</f>
        <v>900</v>
      </c>
      <c r="I44" s="188">
        <f>I45</f>
        <v>0</v>
      </c>
      <c r="J44" s="189"/>
      <c r="K44" s="188">
        <f>K45</f>
        <v>0</v>
      </c>
      <c r="L44" s="172">
        <f>L45</f>
        <v>900</v>
      </c>
      <c r="M44" s="172">
        <f>M45</f>
        <v>0</v>
      </c>
      <c r="N44" s="172">
        <f>N45</f>
        <v>900</v>
      </c>
      <c r="O44" s="178"/>
      <c r="P44" s="92"/>
    </row>
    <row r="45" spans="1:17" ht="31.5" x14ac:dyDescent="0.2">
      <c r="A45" s="42"/>
      <c r="B45" s="168" t="s">
        <v>35</v>
      </c>
      <c r="C45" s="169" t="s">
        <v>66</v>
      </c>
      <c r="D45" s="170" t="s">
        <v>36</v>
      </c>
      <c r="E45" s="171"/>
      <c r="F45" s="172">
        <v>900</v>
      </c>
      <c r="G45" s="172"/>
      <c r="H45" s="172">
        <v>900</v>
      </c>
      <c r="I45" s="188">
        <v>0</v>
      </c>
      <c r="J45" s="189"/>
      <c r="K45" s="188">
        <v>0</v>
      </c>
      <c r="L45" s="172">
        <f>SUM(F45)</f>
        <v>900</v>
      </c>
      <c r="M45" s="172">
        <f>SUM(G45)</f>
        <v>0</v>
      </c>
      <c r="N45" s="172">
        <f>SUM(H45)</f>
        <v>900</v>
      </c>
      <c r="O45" s="178"/>
      <c r="P45" s="92"/>
    </row>
    <row r="46" spans="1:17" ht="18.75" x14ac:dyDescent="0.2">
      <c r="A46" s="42"/>
      <c r="B46" s="168" t="s">
        <v>67</v>
      </c>
      <c r="C46" s="169" t="s">
        <v>68</v>
      </c>
      <c r="D46" s="170" t="s">
        <v>26</v>
      </c>
      <c r="E46" s="171"/>
      <c r="F46" s="172">
        <f>F47</f>
        <v>0</v>
      </c>
      <c r="G46" s="172">
        <f>G47</f>
        <v>0</v>
      </c>
      <c r="H46" s="172">
        <f>H47</f>
        <v>0</v>
      </c>
      <c r="I46" s="188">
        <f>I47</f>
        <v>0</v>
      </c>
      <c r="J46" s="189"/>
      <c r="K46" s="188">
        <f>K47</f>
        <v>0</v>
      </c>
      <c r="L46" s="172">
        <f>L47</f>
        <v>0</v>
      </c>
      <c r="M46" s="172">
        <f>M47</f>
        <v>0</v>
      </c>
      <c r="N46" s="172">
        <f>N47</f>
        <v>0</v>
      </c>
      <c r="O46" s="178"/>
      <c r="P46" s="92"/>
    </row>
    <row r="47" spans="1:17" ht="31.5" x14ac:dyDescent="0.2">
      <c r="A47" s="42"/>
      <c r="B47" s="168" t="s">
        <v>35</v>
      </c>
      <c r="C47" s="169" t="s">
        <v>68</v>
      </c>
      <c r="D47" s="170" t="s">
        <v>36</v>
      </c>
      <c r="E47" s="171"/>
      <c r="F47" s="172"/>
      <c r="G47" s="172"/>
      <c r="H47" s="172"/>
      <c r="I47" s="188">
        <v>0</v>
      </c>
      <c r="J47" s="189"/>
      <c r="K47" s="188">
        <v>0</v>
      </c>
      <c r="L47" s="172"/>
      <c r="M47" s="172"/>
      <c r="N47" s="172"/>
      <c r="O47" s="178"/>
      <c r="P47" s="92"/>
    </row>
    <row r="48" spans="1:17" ht="47.25" x14ac:dyDescent="0.2">
      <c r="A48" s="49"/>
      <c r="B48" s="190" t="s">
        <v>69</v>
      </c>
      <c r="C48" s="191" t="s">
        <v>70</v>
      </c>
      <c r="D48" s="192" t="s">
        <v>26</v>
      </c>
      <c r="E48" s="193"/>
      <c r="F48" s="194">
        <f t="shared" ref="F48:N48" si="7">F49+F68</f>
        <v>132019.79999999999</v>
      </c>
      <c r="G48" s="194">
        <f t="shared" si="7"/>
        <v>881.8</v>
      </c>
      <c r="H48" s="194">
        <f t="shared" si="7"/>
        <v>132901.6</v>
      </c>
      <c r="I48" s="195">
        <f t="shared" si="7"/>
        <v>22124.100000000002</v>
      </c>
      <c r="J48" s="194">
        <f t="shared" si="7"/>
        <v>0</v>
      </c>
      <c r="K48" s="195">
        <f t="shared" si="7"/>
        <v>22124.100000000002</v>
      </c>
      <c r="L48" s="194">
        <f t="shared" si="7"/>
        <v>154143.9</v>
      </c>
      <c r="M48" s="194">
        <f t="shared" si="7"/>
        <v>881.8</v>
      </c>
      <c r="N48" s="194">
        <f t="shared" si="7"/>
        <v>155025.70000000001</v>
      </c>
      <c r="O48" s="178"/>
      <c r="P48" s="92"/>
      <c r="Q48" s="55"/>
    </row>
    <row r="49" spans="1:17" ht="36.6" customHeight="1" x14ac:dyDescent="0.2">
      <c r="A49" s="42"/>
      <c r="B49" s="168" t="s">
        <v>71</v>
      </c>
      <c r="C49" s="169" t="s">
        <v>72</v>
      </c>
      <c r="D49" s="170" t="s">
        <v>26</v>
      </c>
      <c r="E49" s="171"/>
      <c r="F49" s="172">
        <f>F50+F59+F63+F65+F57+F55</f>
        <v>121303.3</v>
      </c>
      <c r="G49" s="172">
        <f>G50+G59+G63+G65+G57+G55</f>
        <v>336.2</v>
      </c>
      <c r="H49" s="172">
        <f>H50+H59+H63+H65+H57+H55</f>
        <v>121639.50000000001</v>
      </c>
      <c r="I49" s="172">
        <f>I50+I59+I63+I65+I57+I61</f>
        <v>22124.100000000002</v>
      </c>
      <c r="J49" s="172">
        <f>SUM(J57)+J50+J59+J61</f>
        <v>0</v>
      </c>
      <c r="K49" s="172">
        <f>K50+K59+K63+K65+K57+K61</f>
        <v>22124.100000000002</v>
      </c>
      <c r="L49" s="172">
        <f>SUM(F49+I49)</f>
        <v>143427.4</v>
      </c>
      <c r="M49" s="172">
        <f>M50+M59+M63+M65+M57+M55</f>
        <v>336.2</v>
      </c>
      <c r="N49" s="172">
        <f>SUM(H49+K49)</f>
        <v>143763.6</v>
      </c>
      <c r="O49" s="178"/>
      <c r="P49" s="92"/>
      <c r="Q49" s="48"/>
    </row>
    <row r="50" spans="1:17" ht="31.5" x14ac:dyDescent="0.2">
      <c r="A50" s="42"/>
      <c r="B50" s="168" t="s">
        <v>39</v>
      </c>
      <c r="C50" s="169" t="s">
        <v>73</v>
      </c>
      <c r="D50" s="170" t="s">
        <v>26</v>
      </c>
      <c r="E50" s="171"/>
      <c r="F50" s="172">
        <f>SUM(F53+F54+F52)+F51</f>
        <v>115378.9</v>
      </c>
      <c r="G50" s="172">
        <f>G51+G52+G53+G54</f>
        <v>0</v>
      </c>
      <c r="H50" s="172">
        <f>H51+H52+H53+H54</f>
        <v>115378.90000000001</v>
      </c>
      <c r="I50" s="188">
        <f>I51+I52+I53+I54</f>
        <v>16215.400000000001</v>
      </c>
      <c r="J50" s="189">
        <f>SUM(J53+J51)</f>
        <v>0</v>
      </c>
      <c r="K50" s="188">
        <f>K51+K52+K53+K54</f>
        <v>16215.400000000001</v>
      </c>
      <c r="L50" s="172">
        <f>L51+L52+L53+L54</f>
        <v>131594.30000000002</v>
      </c>
      <c r="M50" s="172">
        <f>M51+M52+M53+M54</f>
        <v>0</v>
      </c>
      <c r="N50" s="172">
        <f>N51+N52+N53+N54</f>
        <v>131594.30000000002</v>
      </c>
      <c r="O50" s="178"/>
      <c r="P50" s="92"/>
    </row>
    <row r="51" spans="1:17" ht="64.150000000000006" customHeight="1" x14ac:dyDescent="0.2">
      <c r="A51" s="42"/>
      <c r="B51" s="168" t="s">
        <v>31</v>
      </c>
      <c r="C51" s="169" t="s">
        <v>73</v>
      </c>
      <c r="D51" s="170" t="s">
        <v>32</v>
      </c>
      <c r="E51" s="171"/>
      <c r="F51" s="172">
        <v>20848.900000000001</v>
      </c>
      <c r="G51" s="172"/>
      <c r="H51" s="172">
        <v>20848.900000000001</v>
      </c>
      <c r="I51" s="188">
        <v>2756.8</v>
      </c>
      <c r="J51" s="189"/>
      <c r="K51" s="188">
        <f>SUM(I51)</f>
        <v>2756.8</v>
      </c>
      <c r="L51" s="172">
        <f>SUM(F51+I51)</f>
        <v>23605.7</v>
      </c>
      <c r="M51" s="172">
        <f>SUM(G51)</f>
        <v>0</v>
      </c>
      <c r="N51" s="172">
        <f>SUM(H51+K51)</f>
        <v>23605.7</v>
      </c>
      <c r="O51" s="178"/>
      <c r="P51" s="92"/>
    </row>
    <row r="52" spans="1:17" ht="31.5" x14ac:dyDescent="0.2">
      <c r="A52" s="42"/>
      <c r="B52" s="168" t="s">
        <v>35</v>
      </c>
      <c r="C52" s="169" t="s">
        <v>73</v>
      </c>
      <c r="D52" s="170" t="s">
        <v>36</v>
      </c>
      <c r="E52" s="171"/>
      <c r="F52" s="172">
        <v>6632.7</v>
      </c>
      <c r="G52" s="172"/>
      <c r="H52" s="172">
        <f>SUM(F52)+G52</f>
        <v>6632.7</v>
      </c>
      <c r="I52" s="188">
        <v>0</v>
      </c>
      <c r="J52" s="189"/>
      <c r="K52" s="188">
        <v>0</v>
      </c>
      <c r="L52" s="172">
        <f>SUM(F52)</f>
        <v>6632.7</v>
      </c>
      <c r="M52" s="172">
        <f>SUM(G52)</f>
        <v>0</v>
      </c>
      <c r="N52" s="172">
        <f>SUM(H52)</f>
        <v>6632.7</v>
      </c>
      <c r="O52" s="178"/>
      <c r="P52" s="92"/>
    </row>
    <row r="53" spans="1:17" ht="31.5" x14ac:dyDescent="0.2">
      <c r="A53" s="42"/>
      <c r="B53" s="168" t="s">
        <v>74</v>
      </c>
      <c r="C53" s="169" t="s">
        <v>73</v>
      </c>
      <c r="D53" s="170" t="s">
        <v>75</v>
      </c>
      <c r="E53" s="171"/>
      <c r="F53" s="172">
        <f>86661+1213.2</f>
        <v>87874.2</v>
      </c>
      <c r="G53" s="172"/>
      <c r="H53" s="172">
        <f>86661+1213.2</f>
        <v>87874.2</v>
      </c>
      <c r="I53" s="188">
        <v>13458.6</v>
      </c>
      <c r="J53" s="189"/>
      <c r="K53" s="188">
        <f>SUM(I53)</f>
        <v>13458.6</v>
      </c>
      <c r="L53" s="172">
        <f>86661+1213.2+I53</f>
        <v>101332.8</v>
      </c>
      <c r="M53" s="172">
        <f>SUM(J53)</f>
        <v>0</v>
      </c>
      <c r="N53" s="172">
        <f>86661+1213.2+K53</f>
        <v>101332.8</v>
      </c>
      <c r="O53" s="178"/>
      <c r="P53" s="92"/>
    </row>
    <row r="54" spans="1:17" ht="18.75" x14ac:dyDescent="0.2">
      <c r="A54" s="42"/>
      <c r="B54" s="168" t="s">
        <v>41</v>
      </c>
      <c r="C54" s="169" t="s">
        <v>73</v>
      </c>
      <c r="D54" s="170" t="s">
        <v>42</v>
      </c>
      <c r="E54" s="171"/>
      <c r="F54" s="172">
        <v>23.1</v>
      </c>
      <c r="G54" s="172"/>
      <c r="H54" s="172">
        <v>23.1</v>
      </c>
      <c r="I54" s="188">
        <v>0</v>
      </c>
      <c r="J54" s="189"/>
      <c r="K54" s="188">
        <v>0</v>
      </c>
      <c r="L54" s="172">
        <f>SUM(F54)</f>
        <v>23.1</v>
      </c>
      <c r="M54" s="172">
        <f>SUM(G54)</f>
        <v>0</v>
      </c>
      <c r="N54" s="172">
        <f>SUM(H54)</f>
        <v>23.1</v>
      </c>
      <c r="O54" s="178"/>
      <c r="P54" s="92"/>
    </row>
    <row r="55" spans="1:17" ht="31.5" x14ac:dyDescent="0.2">
      <c r="A55" s="42"/>
      <c r="B55" s="168" t="s">
        <v>211</v>
      </c>
      <c r="C55" s="169" t="s">
        <v>495</v>
      </c>
      <c r="D55" s="170"/>
      <c r="E55" s="171"/>
      <c r="F55" s="172">
        <v>523.29999999999995</v>
      </c>
      <c r="G55" s="172"/>
      <c r="H55" s="172">
        <f>SUM(F55)</f>
        <v>523.29999999999995</v>
      </c>
      <c r="I55" s="188"/>
      <c r="J55" s="189"/>
      <c r="K55" s="188"/>
      <c r="L55" s="172">
        <f>SUM(F55)</f>
        <v>523.29999999999995</v>
      </c>
      <c r="M55" s="172">
        <f>SUM(G55)</f>
        <v>0</v>
      </c>
      <c r="N55" s="172">
        <v>523.29999999999995</v>
      </c>
      <c r="O55" s="178"/>
      <c r="P55" s="92"/>
    </row>
    <row r="56" spans="1:17" ht="31.5" x14ac:dyDescent="0.2">
      <c r="A56" s="42"/>
      <c r="B56" s="168" t="s">
        <v>74</v>
      </c>
      <c r="C56" s="169" t="s">
        <v>495</v>
      </c>
      <c r="D56" s="170" t="s">
        <v>75</v>
      </c>
      <c r="E56" s="171"/>
      <c r="F56" s="172">
        <v>523.29999999999995</v>
      </c>
      <c r="G56" s="172"/>
      <c r="H56" s="172">
        <v>523.29999999999995</v>
      </c>
      <c r="I56" s="188"/>
      <c r="J56" s="189"/>
      <c r="K56" s="188"/>
      <c r="L56" s="172">
        <f>SUM(F56)</f>
        <v>523.29999999999995</v>
      </c>
      <c r="M56" s="172">
        <f>SUM(G56)</f>
        <v>0</v>
      </c>
      <c r="N56" s="172">
        <v>523.29999999999995</v>
      </c>
      <c r="O56" s="178"/>
      <c r="P56" s="92"/>
    </row>
    <row r="57" spans="1:17" ht="42.75" customHeight="1" x14ac:dyDescent="0.2">
      <c r="A57" s="42"/>
      <c r="B57" s="197" t="s">
        <v>76</v>
      </c>
      <c r="C57" s="169" t="s">
        <v>77</v>
      </c>
      <c r="D57" s="170"/>
      <c r="E57" s="171"/>
      <c r="F57" s="172">
        <f>SUM(F58)</f>
        <v>2706.6</v>
      </c>
      <c r="G57" s="172">
        <f>SUM(G58)</f>
        <v>0</v>
      </c>
      <c r="H57" s="172">
        <f>SUM(F57)+G57</f>
        <v>2706.6</v>
      </c>
      <c r="I57" s="188">
        <f>SUM(I58)</f>
        <v>0</v>
      </c>
      <c r="J57" s="189">
        <f>SUM(J58)</f>
        <v>0</v>
      </c>
      <c r="K57" s="188">
        <f>SUM(K58)</f>
        <v>0</v>
      </c>
      <c r="L57" s="172">
        <f>SUM(L58)</f>
        <v>2706.6</v>
      </c>
      <c r="M57" s="172">
        <f>SUM(J57)+G57</f>
        <v>0</v>
      </c>
      <c r="N57" s="172">
        <f>SUM(N58)</f>
        <v>2706.6</v>
      </c>
      <c r="O57" s="178"/>
      <c r="P57" s="92"/>
    </row>
    <row r="58" spans="1:17" ht="31.5" x14ac:dyDescent="0.2">
      <c r="A58" s="42"/>
      <c r="B58" s="168" t="s">
        <v>74</v>
      </c>
      <c r="C58" s="169" t="s">
        <v>77</v>
      </c>
      <c r="D58" s="170" t="s">
        <v>75</v>
      </c>
      <c r="E58" s="171"/>
      <c r="F58" s="172">
        <v>2706.6</v>
      </c>
      <c r="G58" s="172"/>
      <c r="H58" s="172">
        <f>SUM(F58)+G58</f>
        <v>2706.6</v>
      </c>
      <c r="I58" s="188">
        <v>0</v>
      </c>
      <c r="J58" s="189"/>
      <c r="K58" s="188">
        <f>SUM(I58)+J58</f>
        <v>0</v>
      </c>
      <c r="L58" s="172">
        <f>SUM(F58+I58)</f>
        <v>2706.6</v>
      </c>
      <c r="M58" s="172">
        <f>SUM(J58)+G58</f>
        <v>0</v>
      </c>
      <c r="N58" s="172">
        <f>SUM(K58)+H58</f>
        <v>2706.6</v>
      </c>
      <c r="O58" s="178"/>
      <c r="P58" s="92"/>
    </row>
    <row r="59" spans="1:17" ht="36" customHeight="1" x14ac:dyDescent="0.2">
      <c r="A59" s="42"/>
      <c r="B59" s="168" t="s">
        <v>78</v>
      </c>
      <c r="C59" s="169" t="s">
        <v>79</v>
      </c>
      <c r="D59" s="170" t="s">
        <v>26</v>
      </c>
      <c r="E59" s="171"/>
      <c r="F59" s="172">
        <f t="shared" ref="F59:N59" si="8">F60</f>
        <v>1814</v>
      </c>
      <c r="G59" s="172">
        <f t="shared" si="8"/>
        <v>336.2</v>
      </c>
      <c r="H59" s="172">
        <f t="shared" si="8"/>
        <v>2150.1999999999998</v>
      </c>
      <c r="I59" s="188">
        <f t="shared" si="8"/>
        <v>0</v>
      </c>
      <c r="J59" s="189">
        <f t="shared" si="8"/>
        <v>0</v>
      </c>
      <c r="K59" s="188">
        <f t="shared" si="8"/>
        <v>0</v>
      </c>
      <c r="L59" s="172">
        <f t="shared" si="8"/>
        <v>1814</v>
      </c>
      <c r="M59" s="172">
        <f t="shared" si="8"/>
        <v>336.2</v>
      </c>
      <c r="N59" s="172">
        <f t="shared" si="8"/>
        <v>2150.1999999999998</v>
      </c>
      <c r="O59" s="178"/>
      <c r="P59" s="92"/>
    </row>
    <row r="60" spans="1:17" ht="31.5" x14ac:dyDescent="0.2">
      <c r="A60" s="42"/>
      <c r="B60" s="168" t="s">
        <v>74</v>
      </c>
      <c r="C60" s="169" t="s">
        <v>79</v>
      </c>
      <c r="D60" s="170" t="s">
        <v>75</v>
      </c>
      <c r="E60" s="171"/>
      <c r="F60" s="172">
        <v>1814</v>
      </c>
      <c r="G60" s="172">
        <v>336.2</v>
      </c>
      <c r="H60" s="172">
        <f>SUM(F60)+G60</f>
        <v>2150.1999999999998</v>
      </c>
      <c r="I60" s="188">
        <v>0</v>
      </c>
      <c r="J60" s="189"/>
      <c r="K60" s="188">
        <f>SUM(I60:J60)</f>
        <v>0</v>
      </c>
      <c r="L60" s="172">
        <f>SUM(F60)</f>
        <v>1814</v>
      </c>
      <c r="M60" s="172">
        <f>G60+J60</f>
        <v>336.2</v>
      </c>
      <c r="N60" s="172">
        <f>SUM(L60)+M60</f>
        <v>2150.1999999999998</v>
      </c>
      <c r="O60" s="178"/>
      <c r="P60" s="92"/>
    </row>
    <row r="61" spans="1:17" ht="63" x14ac:dyDescent="0.2">
      <c r="A61" s="42"/>
      <c r="B61" s="168" t="s">
        <v>484</v>
      </c>
      <c r="C61" s="169" t="s">
        <v>483</v>
      </c>
      <c r="D61" s="170" t="s">
        <v>26</v>
      </c>
      <c r="E61" s="171"/>
      <c r="F61" s="172"/>
      <c r="G61" s="172"/>
      <c r="H61" s="172"/>
      <c r="I61" s="188">
        <v>500</v>
      </c>
      <c r="J61" s="189">
        <f>J62</f>
        <v>0</v>
      </c>
      <c r="K61" s="189">
        <f>K62</f>
        <v>500</v>
      </c>
      <c r="L61" s="172">
        <f>F61+I61</f>
        <v>500</v>
      </c>
      <c r="M61" s="172">
        <f>G61+J61</f>
        <v>0</v>
      </c>
      <c r="N61" s="172">
        <f>N62</f>
        <v>500</v>
      </c>
      <c r="O61" s="178"/>
      <c r="P61" s="92"/>
    </row>
    <row r="62" spans="1:17" ht="31.5" x14ac:dyDescent="0.2">
      <c r="A62" s="42"/>
      <c r="B62" s="168" t="s">
        <v>74</v>
      </c>
      <c r="C62" s="169" t="s">
        <v>483</v>
      </c>
      <c r="D62" s="170" t="s">
        <v>75</v>
      </c>
      <c r="E62" s="171"/>
      <c r="F62" s="172"/>
      <c r="G62" s="172"/>
      <c r="H62" s="172"/>
      <c r="I62" s="188">
        <v>500</v>
      </c>
      <c r="J62" s="189"/>
      <c r="K62" s="188">
        <f>SUM(I62:J62)</f>
        <v>500</v>
      </c>
      <c r="L62" s="172">
        <f>F62+I62</f>
        <v>500</v>
      </c>
      <c r="M62" s="172">
        <f>G62+J62</f>
        <v>0</v>
      </c>
      <c r="N62" s="172">
        <f>SUM(L62:M62)</f>
        <v>500</v>
      </c>
      <c r="O62" s="178"/>
      <c r="P62" s="92"/>
    </row>
    <row r="63" spans="1:17" ht="33" customHeight="1" x14ac:dyDescent="0.2">
      <c r="A63" s="42"/>
      <c r="B63" s="168" t="s">
        <v>80</v>
      </c>
      <c r="C63" s="169" t="s">
        <v>81</v>
      </c>
      <c r="D63" s="170" t="s">
        <v>26</v>
      </c>
      <c r="E63" s="171"/>
      <c r="F63" s="172">
        <f>F64</f>
        <v>626.1</v>
      </c>
      <c r="G63" s="172">
        <f>G64</f>
        <v>0</v>
      </c>
      <c r="H63" s="172">
        <f>H64</f>
        <v>626.1</v>
      </c>
      <c r="I63" s="188">
        <f>I64</f>
        <v>3846.2</v>
      </c>
      <c r="J63" s="189"/>
      <c r="K63" s="188">
        <f>K64</f>
        <v>3846.2</v>
      </c>
      <c r="L63" s="172">
        <f>L64</f>
        <v>4472.3999999999996</v>
      </c>
      <c r="M63" s="172">
        <f>M64</f>
        <v>0</v>
      </c>
      <c r="N63" s="172">
        <f>N64</f>
        <v>4472.3999999999996</v>
      </c>
      <c r="O63" s="178"/>
      <c r="P63" s="92"/>
    </row>
    <row r="64" spans="1:17" ht="31.5" x14ac:dyDescent="0.2">
      <c r="A64" s="42"/>
      <c r="B64" s="168" t="s">
        <v>74</v>
      </c>
      <c r="C64" s="169" t="s">
        <v>81</v>
      </c>
      <c r="D64" s="170" t="s">
        <v>75</v>
      </c>
      <c r="E64" s="171"/>
      <c r="F64" s="172">
        <v>626.1</v>
      </c>
      <c r="G64" s="172"/>
      <c r="H64" s="172">
        <v>626.1</v>
      </c>
      <c r="I64" s="188">
        <v>3846.2</v>
      </c>
      <c r="J64" s="189"/>
      <c r="K64" s="188">
        <v>3846.2</v>
      </c>
      <c r="L64" s="172">
        <f>626.2+I64</f>
        <v>4472.3999999999996</v>
      </c>
      <c r="M64" s="172">
        <f>SUM(G64)</f>
        <v>0</v>
      </c>
      <c r="N64" s="172">
        <f>626.2+K64+M64</f>
        <v>4472.3999999999996</v>
      </c>
      <c r="O64" s="178"/>
      <c r="P64" s="92"/>
    </row>
    <row r="65" spans="1:16" ht="18.75" x14ac:dyDescent="0.2">
      <c r="A65" s="42"/>
      <c r="B65" s="168" t="s">
        <v>82</v>
      </c>
      <c r="C65" s="169" t="s">
        <v>83</v>
      </c>
      <c r="D65" s="170"/>
      <c r="E65" s="171"/>
      <c r="F65" s="172">
        <v>254.4</v>
      </c>
      <c r="G65" s="172"/>
      <c r="H65" s="172">
        <v>254.4</v>
      </c>
      <c r="I65" s="188">
        <v>1562.5</v>
      </c>
      <c r="J65" s="189"/>
      <c r="K65" s="188">
        <v>1562.5</v>
      </c>
      <c r="L65" s="172">
        <f>254.4+I65</f>
        <v>1816.9</v>
      </c>
      <c r="M65" s="172"/>
      <c r="N65" s="172">
        <f>254.4+K65</f>
        <v>1816.9</v>
      </c>
      <c r="O65" s="178"/>
      <c r="P65" s="92"/>
    </row>
    <row r="66" spans="1:16" ht="21" customHeight="1" x14ac:dyDescent="0.2">
      <c r="A66" s="42"/>
      <c r="B66" s="168" t="s">
        <v>84</v>
      </c>
      <c r="C66" s="169" t="s">
        <v>85</v>
      </c>
      <c r="D66" s="170"/>
      <c r="E66" s="171"/>
      <c r="F66" s="172">
        <v>254.4</v>
      </c>
      <c r="G66" s="172"/>
      <c r="H66" s="172">
        <v>254.4</v>
      </c>
      <c r="I66" s="188">
        <v>1562.5</v>
      </c>
      <c r="J66" s="189"/>
      <c r="K66" s="188">
        <v>1562.5</v>
      </c>
      <c r="L66" s="172">
        <f>254.4+I66</f>
        <v>1816.9</v>
      </c>
      <c r="M66" s="172"/>
      <c r="N66" s="172">
        <f>254.4+K66</f>
        <v>1816.9</v>
      </c>
      <c r="O66" s="178"/>
      <c r="P66" s="92"/>
    </row>
    <row r="67" spans="1:16" ht="31.5" x14ac:dyDescent="0.2">
      <c r="A67" s="42"/>
      <c r="B67" s="168" t="s">
        <v>74</v>
      </c>
      <c r="C67" s="169" t="s">
        <v>83</v>
      </c>
      <c r="D67" s="170" t="s">
        <v>75</v>
      </c>
      <c r="E67" s="171"/>
      <c r="F67" s="172">
        <v>254.4</v>
      </c>
      <c r="G67" s="172"/>
      <c r="H67" s="172">
        <v>254.4</v>
      </c>
      <c r="I67" s="188">
        <v>1562.5</v>
      </c>
      <c r="J67" s="189"/>
      <c r="K67" s="188">
        <v>1562.5</v>
      </c>
      <c r="L67" s="172">
        <f>254.4+I67</f>
        <v>1816.9</v>
      </c>
      <c r="M67" s="172"/>
      <c r="N67" s="172">
        <f>254.4+K67</f>
        <v>1816.9</v>
      </c>
      <c r="O67" s="178"/>
      <c r="P67" s="92"/>
    </row>
    <row r="68" spans="1:16" ht="36" customHeight="1" x14ac:dyDescent="0.2">
      <c r="A68" s="42"/>
      <c r="B68" s="168" t="s">
        <v>86</v>
      </c>
      <c r="C68" s="169" t="s">
        <v>87</v>
      </c>
      <c r="D68" s="170" t="s">
        <v>26</v>
      </c>
      <c r="E68" s="171"/>
      <c r="F68" s="172">
        <f>F69</f>
        <v>10716.5</v>
      </c>
      <c r="G68" s="172">
        <f>G69</f>
        <v>545.6</v>
      </c>
      <c r="H68" s="172">
        <f>H69</f>
        <v>11262.1</v>
      </c>
      <c r="I68" s="188">
        <f>I69</f>
        <v>0</v>
      </c>
      <c r="J68" s="189"/>
      <c r="K68" s="188">
        <f>K69</f>
        <v>0</v>
      </c>
      <c r="L68" s="172">
        <f>L69</f>
        <v>10716.5</v>
      </c>
      <c r="M68" s="172">
        <f>M69</f>
        <v>545.6</v>
      </c>
      <c r="N68" s="172">
        <f>N69</f>
        <v>11262.1</v>
      </c>
      <c r="O68" s="178"/>
      <c r="P68" s="92"/>
    </row>
    <row r="69" spans="1:16" ht="31.5" x14ac:dyDescent="0.2">
      <c r="A69" s="42"/>
      <c r="B69" s="168" t="s">
        <v>39</v>
      </c>
      <c r="C69" s="169" t="s">
        <v>88</v>
      </c>
      <c r="D69" s="170" t="s">
        <v>26</v>
      </c>
      <c r="E69" s="171"/>
      <c r="F69" s="172">
        <f>F70+F71+F72</f>
        <v>10716.5</v>
      </c>
      <c r="G69" s="172">
        <f>G70+G71+G72</f>
        <v>545.6</v>
      </c>
      <c r="H69" s="172">
        <f>H70+H71+H72</f>
        <v>11262.1</v>
      </c>
      <c r="I69" s="188">
        <f>I70+I71+I72</f>
        <v>0</v>
      </c>
      <c r="J69" s="189"/>
      <c r="K69" s="188">
        <f>K70+K71+K72</f>
        <v>0</v>
      </c>
      <c r="L69" s="172">
        <f>L70+L71+L72</f>
        <v>10716.5</v>
      </c>
      <c r="M69" s="172">
        <f>M70+M71+M72</f>
        <v>545.6</v>
      </c>
      <c r="N69" s="172">
        <f>N70+N71+N72</f>
        <v>11262.1</v>
      </c>
      <c r="O69" s="178"/>
      <c r="P69" s="92"/>
    </row>
    <row r="70" spans="1:16" ht="70.150000000000006" customHeight="1" x14ac:dyDescent="0.2">
      <c r="A70" s="42"/>
      <c r="B70" s="168" t="s">
        <v>31</v>
      </c>
      <c r="C70" s="169" t="s">
        <v>88</v>
      </c>
      <c r="D70" s="170" t="s">
        <v>32</v>
      </c>
      <c r="E70" s="171"/>
      <c r="F70" s="172">
        <v>9288.5</v>
      </c>
      <c r="G70" s="172">
        <v>545.6</v>
      </c>
      <c r="H70" s="172">
        <f>SUM(F70)+G70</f>
        <v>9834.1</v>
      </c>
      <c r="I70" s="188">
        <v>0</v>
      </c>
      <c r="J70" s="189"/>
      <c r="K70" s="188">
        <v>0</v>
      </c>
      <c r="L70" s="172">
        <f t="shared" ref="L70:N71" si="9">SUM(F70)</f>
        <v>9288.5</v>
      </c>
      <c r="M70" s="172">
        <f t="shared" si="9"/>
        <v>545.6</v>
      </c>
      <c r="N70" s="172">
        <f t="shared" si="9"/>
        <v>9834.1</v>
      </c>
      <c r="O70" s="178"/>
      <c r="P70" s="92"/>
    </row>
    <row r="71" spans="1:16" ht="31.5" x14ac:dyDescent="0.2">
      <c r="A71" s="42"/>
      <c r="B71" s="168" t="s">
        <v>35</v>
      </c>
      <c r="C71" s="169" t="s">
        <v>88</v>
      </c>
      <c r="D71" s="170" t="s">
        <v>36</v>
      </c>
      <c r="E71" s="171"/>
      <c r="F71" s="172">
        <v>1426.9</v>
      </c>
      <c r="G71" s="172"/>
      <c r="H71" s="172">
        <f>SUM(F71)</f>
        <v>1426.9</v>
      </c>
      <c r="I71" s="188">
        <v>0</v>
      </c>
      <c r="J71" s="189"/>
      <c r="K71" s="188">
        <v>0</v>
      </c>
      <c r="L71" s="172">
        <f t="shared" si="9"/>
        <v>1426.9</v>
      </c>
      <c r="M71" s="172">
        <f t="shared" si="9"/>
        <v>0</v>
      </c>
      <c r="N71" s="172">
        <f t="shared" si="9"/>
        <v>1426.9</v>
      </c>
      <c r="O71" s="178"/>
      <c r="P71" s="92"/>
    </row>
    <row r="72" spans="1:16" ht="18.75" x14ac:dyDescent="0.2">
      <c r="A72" s="42"/>
      <c r="B72" s="168" t="s">
        <v>41</v>
      </c>
      <c r="C72" s="169" t="s">
        <v>88</v>
      </c>
      <c r="D72" s="170" t="s">
        <v>42</v>
      </c>
      <c r="E72" s="171"/>
      <c r="F72" s="172">
        <v>1.1000000000000001</v>
      </c>
      <c r="G72" s="172"/>
      <c r="H72" s="172">
        <v>1.1000000000000001</v>
      </c>
      <c r="I72" s="188">
        <v>0</v>
      </c>
      <c r="J72" s="189"/>
      <c r="K72" s="188">
        <v>0</v>
      </c>
      <c r="L72" s="172">
        <v>1.1000000000000001</v>
      </c>
      <c r="M72" s="172"/>
      <c r="N72" s="172">
        <v>1.1000000000000001</v>
      </c>
      <c r="O72" s="178"/>
      <c r="P72" s="92"/>
    </row>
    <row r="73" spans="1:16" ht="31.5" x14ac:dyDescent="0.2">
      <c r="A73" s="49"/>
      <c r="B73" s="190" t="s">
        <v>89</v>
      </c>
      <c r="C73" s="191" t="s">
        <v>90</v>
      </c>
      <c r="D73" s="192" t="s">
        <v>26</v>
      </c>
      <c r="E73" s="193"/>
      <c r="F73" s="194">
        <f t="shared" ref="F73:N74" si="10">F74</f>
        <v>2090.6</v>
      </c>
      <c r="G73" s="194">
        <f t="shared" si="10"/>
        <v>0</v>
      </c>
      <c r="H73" s="194">
        <f t="shared" si="10"/>
        <v>2090.6</v>
      </c>
      <c r="I73" s="195">
        <f t="shared" si="10"/>
        <v>0</v>
      </c>
      <c r="J73" s="194">
        <f t="shared" si="10"/>
        <v>0</v>
      </c>
      <c r="K73" s="195">
        <f t="shared" si="10"/>
        <v>0</v>
      </c>
      <c r="L73" s="194">
        <f t="shared" si="10"/>
        <v>2090.6</v>
      </c>
      <c r="M73" s="194">
        <f t="shared" si="10"/>
        <v>0</v>
      </c>
      <c r="N73" s="194">
        <f t="shared" si="10"/>
        <v>2090.6</v>
      </c>
      <c r="O73" s="178"/>
      <c r="P73" s="92"/>
    </row>
    <row r="74" spans="1:16" ht="31.5" x14ac:dyDescent="0.2">
      <c r="A74" s="42"/>
      <c r="B74" s="168" t="s">
        <v>91</v>
      </c>
      <c r="C74" s="169" t="s">
        <v>92</v>
      </c>
      <c r="D74" s="170" t="s">
        <v>26</v>
      </c>
      <c r="E74" s="171"/>
      <c r="F74" s="172">
        <f t="shared" si="10"/>
        <v>2090.6</v>
      </c>
      <c r="G74" s="172">
        <f t="shared" si="10"/>
        <v>0</v>
      </c>
      <c r="H74" s="172">
        <f t="shared" si="10"/>
        <v>2090.6</v>
      </c>
      <c r="I74" s="188">
        <f t="shared" si="10"/>
        <v>0</v>
      </c>
      <c r="J74" s="189"/>
      <c r="K74" s="188">
        <f t="shared" si="10"/>
        <v>0</v>
      </c>
      <c r="L74" s="172">
        <f t="shared" si="10"/>
        <v>2090.6</v>
      </c>
      <c r="M74" s="172">
        <f t="shared" si="10"/>
        <v>0</v>
      </c>
      <c r="N74" s="172">
        <f t="shared" si="10"/>
        <v>2090.6</v>
      </c>
      <c r="O74" s="178"/>
      <c r="P74" s="92"/>
    </row>
    <row r="75" spans="1:16" ht="31.5" x14ac:dyDescent="0.2">
      <c r="A75" s="42"/>
      <c r="B75" s="168" t="s">
        <v>93</v>
      </c>
      <c r="C75" s="169" t="s">
        <v>94</v>
      </c>
      <c r="D75" s="170" t="s">
        <v>26</v>
      </c>
      <c r="E75" s="171"/>
      <c r="F75" s="172">
        <f>F76+F77+F78</f>
        <v>2090.6</v>
      </c>
      <c r="G75" s="172">
        <f>G76+G77+G78</f>
        <v>0</v>
      </c>
      <c r="H75" s="172">
        <f>H76+H77+H78</f>
        <v>2090.6</v>
      </c>
      <c r="I75" s="188">
        <f>I76+I77</f>
        <v>0</v>
      </c>
      <c r="J75" s="189"/>
      <c r="K75" s="188">
        <f>K76+K77</f>
        <v>0</v>
      </c>
      <c r="L75" s="172">
        <f>L76+L77+L78</f>
        <v>2090.6</v>
      </c>
      <c r="M75" s="172">
        <f>M76+M77+M78</f>
        <v>0</v>
      </c>
      <c r="N75" s="172">
        <f>N76+N77+N78</f>
        <v>2090.6</v>
      </c>
      <c r="O75" s="178"/>
      <c r="P75" s="92"/>
    </row>
    <row r="76" spans="1:16" ht="66" customHeight="1" x14ac:dyDescent="0.2">
      <c r="A76" s="42"/>
      <c r="B76" s="168" t="s">
        <v>31</v>
      </c>
      <c r="C76" s="169" t="s">
        <v>94</v>
      </c>
      <c r="D76" s="170" t="s">
        <v>32</v>
      </c>
      <c r="E76" s="171"/>
      <c r="F76" s="172">
        <v>2080.1</v>
      </c>
      <c r="G76" s="172"/>
      <c r="H76" s="172">
        <f>SUM(F76)+G76</f>
        <v>2080.1</v>
      </c>
      <c r="I76" s="188">
        <v>0</v>
      </c>
      <c r="J76" s="189"/>
      <c r="K76" s="188">
        <v>0</v>
      </c>
      <c r="L76" s="172">
        <f t="shared" ref="L76:N78" si="11">SUM(F76)</f>
        <v>2080.1</v>
      </c>
      <c r="M76" s="172">
        <f t="shared" si="11"/>
        <v>0</v>
      </c>
      <c r="N76" s="172">
        <f t="shared" si="11"/>
        <v>2080.1</v>
      </c>
      <c r="O76" s="178"/>
      <c r="P76" s="92"/>
    </row>
    <row r="77" spans="1:16" ht="31.5" x14ac:dyDescent="0.2">
      <c r="A77" s="42"/>
      <c r="B77" s="168" t="s">
        <v>35</v>
      </c>
      <c r="C77" s="169" t="s">
        <v>94</v>
      </c>
      <c r="D77" s="170" t="s">
        <v>36</v>
      </c>
      <c r="E77" s="171"/>
      <c r="F77" s="172">
        <v>9.5</v>
      </c>
      <c r="G77" s="172"/>
      <c r="H77" s="172">
        <f>SUM(F77)</f>
        <v>9.5</v>
      </c>
      <c r="I77" s="188">
        <v>0</v>
      </c>
      <c r="J77" s="189"/>
      <c r="K77" s="188">
        <v>0</v>
      </c>
      <c r="L77" s="172">
        <f t="shared" si="11"/>
        <v>9.5</v>
      </c>
      <c r="M77" s="172">
        <f t="shared" si="11"/>
        <v>0</v>
      </c>
      <c r="N77" s="172">
        <f t="shared" si="11"/>
        <v>9.5</v>
      </c>
      <c r="O77" s="178"/>
      <c r="P77" s="92"/>
    </row>
    <row r="78" spans="1:16" ht="18.75" x14ac:dyDescent="0.2">
      <c r="A78" s="42"/>
      <c r="B78" s="168" t="s">
        <v>41</v>
      </c>
      <c r="C78" s="169" t="s">
        <v>94</v>
      </c>
      <c r="D78" s="170" t="s">
        <v>42</v>
      </c>
      <c r="E78" s="171"/>
      <c r="F78" s="172">
        <v>1</v>
      </c>
      <c r="G78" s="172"/>
      <c r="H78" s="172">
        <f>SUM(F78)+G78</f>
        <v>1</v>
      </c>
      <c r="I78" s="188"/>
      <c r="J78" s="189"/>
      <c r="K78" s="188"/>
      <c r="L78" s="172">
        <f t="shared" si="11"/>
        <v>1</v>
      </c>
      <c r="M78" s="172">
        <f t="shared" si="11"/>
        <v>0</v>
      </c>
      <c r="N78" s="172">
        <f t="shared" si="11"/>
        <v>1</v>
      </c>
      <c r="O78" s="178"/>
      <c r="P78" s="92"/>
    </row>
    <row r="79" spans="1:16" ht="31.5" x14ac:dyDescent="0.2">
      <c r="A79" s="19" t="s">
        <v>95</v>
      </c>
      <c r="B79" s="182" t="s">
        <v>96</v>
      </c>
      <c r="C79" s="183" t="s">
        <v>97</v>
      </c>
      <c r="D79" s="184" t="s">
        <v>26</v>
      </c>
      <c r="E79" s="185"/>
      <c r="F79" s="186">
        <f t="shared" ref="F79:N79" si="12">F80+F87</f>
        <v>68359.600000000006</v>
      </c>
      <c r="G79" s="186">
        <f t="shared" si="12"/>
        <v>139</v>
      </c>
      <c r="H79" s="186">
        <f t="shared" si="12"/>
        <v>68498.600000000006</v>
      </c>
      <c r="I79" s="187">
        <f t="shared" si="12"/>
        <v>0</v>
      </c>
      <c r="J79" s="186">
        <f t="shared" si="12"/>
        <v>0</v>
      </c>
      <c r="K79" s="187">
        <f t="shared" si="12"/>
        <v>0</v>
      </c>
      <c r="L79" s="186">
        <f t="shared" si="12"/>
        <v>68359.600000000006</v>
      </c>
      <c r="M79" s="186">
        <f t="shared" si="12"/>
        <v>139</v>
      </c>
      <c r="N79" s="186">
        <f t="shared" si="12"/>
        <v>68498.600000000006</v>
      </c>
      <c r="O79" s="178"/>
      <c r="P79" s="92"/>
    </row>
    <row r="80" spans="1:16" ht="31.5" x14ac:dyDescent="0.2">
      <c r="A80" s="49"/>
      <c r="B80" s="190" t="s">
        <v>98</v>
      </c>
      <c r="C80" s="191" t="s">
        <v>99</v>
      </c>
      <c r="D80" s="192" t="s">
        <v>26</v>
      </c>
      <c r="E80" s="193"/>
      <c r="F80" s="194">
        <f t="shared" ref="F80:N80" si="13">F81+F84</f>
        <v>68079.600000000006</v>
      </c>
      <c r="G80" s="194">
        <f t="shared" si="13"/>
        <v>139</v>
      </c>
      <c r="H80" s="194">
        <f t="shared" si="13"/>
        <v>68218.600000000006</v>
      </c>
      <c r="I80" s="195">
        <f t="shared" si="13"/>
        <v>0</v>
      </c>
      <c r="J80" s="194">
        <f t="shared" si="13"/>
        <v>0</v>
      </c>
      <c r="K80" s="195">
        <f t="shared" si="13"/>
        <v>0</v>
      </c>
      <c r="L80" s="194">
        <f t="shared" si="13"/>
        <v>68079.600000000006</v>
      </c>
      <c r="M80" s="194">
        <f t="shared" si="13"/>
        <v>139</v>
      </c>
      <c r="N80" s="194">
        <f t="shared" si="13"/>
        <v>68218.600000000006</v>
      </c>
      <c r="O80" s="178"/>
      <c r="P80" s="92"/>
    </row>
    <row r="81" spans="1:17" ht="31.5" x14ac:dyDescent="0.2">
      <c r="A81" s="42"/>
      <c r="B81" s="168" t="s">
        <v>100</v>
      </c>
      <c r="C81" s="169" t="s">
        <v>101</v>
      </c>
      <c r="D81" s="170" t="s">
        <v>26</v>
      </c>
      <c r="E81" s="171"/>
      <c r="F81" s="172">
        <f t="shared" ref="F81:N82" si="14">F82</f>
        <v>63946</v>
      </c>
      <c r="G81" s="172">
        <f t="shared" si="14"/>
        <v>0</v>
      </c>
      <c r="H81" s="172">
        <f t="shared" si="14"/>
        <v>63946</v>
      </c>
      <c r="I81" s="188">
        <f t="shared" si="14"/>
        <v>0</v>
      </c>
      <c r="J81" s="189"/>
      <c r="K81" s="188">
        <f t="shared" si="14"/>
        <v>0</v>
      </c>
      <c r="L81" s="172">
        <f t="shared" si="14"/>
        <v>63946</v>
      </c>
      <c r="M81" s="172">
        <f t="shared" si="14"/>
        <v>0</v>
      </c>
      <c r="N81" s="172">
        <f t="shared" si="14"/>
        <v>63946</v>
      </c>
      <c r="O81" s="178"/>
      <c r="P81" s="92"/>
    </row>
    <row r="82" spans="1:17" ht="18.75" x14ac:dyDescent="0.2">
      <c r="A82" s="42"/>
      <c r="B82" s="168" t="s">
        <v>102</v>
      </c>
      <c r="C82" s="169" t="s">
        <v>103</v>
      </c>
      <c r="D82" s="170" t="s">
        <v>26</v>
      </c>
      <c r="E82" s="171"/>
      <c r="F82" s="172">
        <f t="shared" si="14"/>
        <v>63946</v>
      </c>
      <c r="G82" s="172">
        <f t="shared" si="14"/>
        <v>0</v>
      </c>
      <c r="H82" s="172">
        <f t="shared" si="14"/>
        <v>63946</v>
      </c>
      <c r="I82" s="188">
        <f t="shared" si="14"/>
        <v>0</v>
      </c>
      <c r="J82" s="189"/>
      <c r="K82" s="188">
        <f t="shared" si="14"/>
        <v>0</v>
      </c>
      <c r="L82" s="172">
        <f t="shared" si="14"/>
        <v>63946</v>
      </c>
      <c r="M82" s="172">
        <f t="shared" si="14"/>
        <v>0</v>
      </c>
      <c r="N82" s="172">
        <f t="shared" si="14"/>
        <v>63946</v>
      </c>
      <c r="O82" s="178"/>
      <c r="P82" s="92"/>
    </row>
    <row r="83" spans="1:17" ht="18.75" x14ac:dyDescent="0.2">
      <c r="A83" s="42"/>
      <c r="B83" s="168" t="s">
        <v>54</v>
      </c>
      <c r="C83" s="169" t="s">
        <v>103</v>
      </c>
      <c r="D83" s="170" t="s">
        <v>55</v>
      </c>
      <c r="E83" s="171"/>
      <c r="F83" s="172">
        <v>63946</v>
      </c>
      <c r="G83" s="172"/>
      <c r="H83" s="172">
        <f>SUM(F83)+G83</f>
        <v>63946</v>
      </c>
      <c r="I83" s="188">
        <v>0</v>
      </c>
      <c r="J83" s="189"/>
      <c r="K83" s="188">
        <v>0</v>
      </c>
      <c r="L83" s="172">
        <f>SUM(F83)</f>
        <v>63946</v>
      </c>
      <c r="M83" s="172">
        <f>SUM(G83)</f>
        <v>0</v>
      </c>
      <c r="N83" s="172">
        <f>SUM(H83)</f>
        <v>63946</v>
      </c>
      <c r="O83" s="178"/>
      <c r="P83" s="92"/>
    </row>
    <row r="84" spans="1:17" ht="36" customHeight="1" x14ac:dyDescent="0.2">
      <c r="A84" s="42"/>
      <c r="B84" s="168" t="s">
        <v>104</v>
      </c>
      <c r="C84" s="169" t="s">
        <v>105</v>
      </c>
      <c r="D84" s="170" t="s">
        <v>26</v>
      </c>
      <c r="E84" s="171"/>
      <c r="F84" s="172">
        <f t="shared" ref="F84:N85" si="15">F85</f>
        <v>4133.6000000000004</v>
      </c>
      <c r="G84" s="172">
        <f t="shared" si="15"/>
        <v>139</v>
      </c>
      <c r="H84" s="172">
        <f t="shared" si="15"/>
        <v>4272.6000000000004</v>
      </c>
      <c r="I84" s="188">
        <f t="shared" si="15"/>
        <v>0</v>
      </c>
      <c r="J84" s="189"/>
      <c r="K84" s="188">
        <f t="shared" si="15"/>
        <v>0</v>
      </c>
      <c r="L84" s="172">
        <f t="shared" si="15"/>
        <v>4133.6000000000004</v>
      </c>
      <c r="M84" s="172">
        <f t="shared" si="15"/>
        <v>139</v>
      </c>
      <c r="N84" s="172">
        <f t="shared" si="15"/>
        <v>4272.6000000000004</v>
      </c>
      <c r="O84" s="178"/>
      <c r="P84" s="92"/>
    </row>
    <row r="85" spans="1:17" ht="31.5" x14ac:dyDescent="0.2">
      <c r="A85" s="42"/>
      <c r="B85" s="168" t="s">
        <v>106</v>
      </c>
      <c r="C85" s="169" t="s">
        <v>107</v>
      </c>
      <c r="D85" s="170" t="s">
        <v>26</v>
      </c>
      <c r="E85" s="171"/>
      <c r="F85" s="172">
        <f t="shared" si="15"/>
        <v>4133.6000000000004</v>
      </c>
      <c r="G85" s="172">
        <f t="shared" si="15"/>
        <v>139</v>
      </c>
      <c r="H85" s="172">
        <f t="shared" si="15"/>
        <v>4272.6000000000004</v>
      </c>
      <c r="I85" s="188">
        <f t="shared" si="15"/>
        <v>0</v>
      </c>
      <c r="J85" s="189"/>
      <c r="K85" s="188">
        <f t="shared" si="15"/>
        <v>0</v>
      </c>
      <c r="L85" s="172">
        <f t="shared" si="15"/>
        <v>4133.6000000000004</v>
      </c>
      <c r="M85" s="172">
        <f t="shared" si="15"/>
        <v>139</v>
      </c>
      <c r="N85" s="172">
        <f t="shared" si="15"/>
        <v>4272.6000000000004</v>
      </c>
      <c r="O85" s="178"/>
      <c r="P85" s="92"/>
    </row>
    <row r="86" spans="1:17" ht="18.75" x14ac:dyDescent="0.2">
      <c r="A86" s="42"/>
      <c r="B86" s="168" t="s">
        <v>54</v>
      </c>
      <c r="C86" s="169" t="s">
        <v>107</v>
      </c>
      <c r="D86" s="170" t="s">
        <v>55</v>
      </c>
      <c r="E86" s="171"/>
      <c r="F86" s="172">
        <v>4133.6000000000004</v>
      </c>
      <c r="G86" s="172">
        <v>139</v>
      </c>
      <c r="H86" s="172">
        <f>F86+G86</f>
        <v>4272.6000000000004</v>
      </c>
      <c r="I86" s="188">
        <v>0</v>
      </c>
      <c r="J86" s="189"/>
      <c r="K86" s="188">
        <v>0</v>
      </c>
      <c r="L86" s="172">
        <f>SUM(F86)</f>
        <v>4133.6000000000004</v>
      </c>
      <c r="M86" s="172">
        <f>G86+J86</f>
        <v>139</v>
      </c>
      <c r="N86" s="172">
        <f>SUM(L86:M86)</f>
        <v>4272.6000000000004</v>
      </c>
      <c r="O86" s="178"/>
      <c r="P86" s="92"/>
    </row>
    <row r="87" spans="1:17" ht="37.9" customHeight="1" x14ac:dyDescent="0.2">
      <c r="A87" s="49"/>
      <c r="B87" s="190" t="s">
        <v>108</v>
      </c>
      <c r="C87" s="191" t="s">
        <v>109</v>
      </c>
      <c r="D87" s="192" t="s">
        <v>26</v>
      </c>
      <c r="E87" s="193"/>
      <c r="F87" s="194">
        <f t="shared" ref="F87:N89" si="16">F88</f>
        <v>280</v>
      </c>
      <c r="G87" s="194">
        <f t="shared" si="16"/>
        <v>0</v>
      </c>
      <c r="H87" s="194">
        <f t="shared" si="16"/>
        <v>280</v>
      </c>
      <c r="I87" s="195">
        <f t="shared" si="16"/>
        <v>0</v>
      </c>
      <c r="J87" s="194">
        <f>J88</f>
        <v>0</v>
      </c>
      <c r="K87" s="195">
        <f t="shared" si="16"/>
        <v>0</v>
      </c>
      <c r="L87" s="194">
        <f t="shared" si="16"/>
        <v>280</v>
      </c>
      <c r="M87" s="194">
        <f t="shared" si="16"/>
        <v>0</v>
      </c>
      <c r="N87" s="194">
        <f t="shared" si="16"/>
        <v>280</v>
      </c>
      <c r="O87" s="178"/>
      <c r="P87" s="92"/>
    </row>
    <row r="88" spans="1:17" ht="64.150000000000006" customHeight="1" x14ac:dyDescent="0.2">
      <c r="A88" s="42"/>
      <c r="B88" s="168" t="s">
        <v>110</v>
      </c>
      <c r="C88" s="169" t="s">
        <v>111</v>
      </c>
      <c r="D88" s="170" t="s">
        <v>26</v>
      </c>
      <c r="E88" s="171"/>
      <c r="F88" s="172">
        <f t="shared" si="16"/>
        <v>280</v>
      </c>
      <c r="G88" s="172">
        <f t="shared" si="16"/>
        <v>0</v>
      </c>
      <c r="H88" s="172">
        <f t="shared" si="16"/>
        <v>280</v>
      </c>
      <c r="I88" s="188">
        <f t="shared" si="16"/>
        <v>0</v>
      </c>
      <c r="J88" s="189"/>
      <c r="K88" s="188">
        <f t="shared" si="16"/>
        <v>0</v>
      </c>
      <c r="L88" s="172">
        <f t="shared" si="16"/>
        <v>280</v>
      </c>
      <c r="M88" s="172">
        <f t="shared" si="16"/>
        <v>0</v>
      </c>
      <c r="N88" s="172">
        <f t="shared" si="16"/>
        <v>280</v>
      </c>
      <c r="O88" s="178"/>
      <c r="P88" s="92"/>
    </row>
    <row r="89" spans="1:17" ht="36.6" customHeight="1" x14ac:dyDescent="0.2">
      <c r="A89" s="42"/>
      <c r="B89" s="168" t="s">
        <v>112</v>
      </c>
      <c r="C89" s="169" t="s">
        <v>113</v>
      </c>
      <c r="D89" s="170" t="s">
        <v>26</v>
      </c>
      <c r="E89" s="171"/>
      <c r="F89" s="172">
        <f t="shared" si="16"/>
        <v>280</v>
      </c>
      <c r="G89" s="172">
        <f t="shared" si="16"/>
        <v>0</v>
      </c>
      <c r="H89" s="172">
        <f t="shared" si="16"/>
        <v>280</v>
      </c>
      <c r="I89" s="188">
        <f t="shared" si="16"/>
        <v>0</v>
      </c>
      <c r="J89" s="189"/>
      <c r="K89" s="188">
        <f t="shared" si="16"/>
        <v>0</v>
      </c>
      <c r="L89" s="172">
        <f t="shared" si="16"/>
        <v>280</v>
      </c>
      <c r="M89" s="172">
        <f t="shared" si="16"/>
        <v>0</v>
      </c>
      <c r="N89" s="172">
        <f t="shared" si="16"/>
        <v>280</v>
      </c>
      <c r="O89" s="178"/>
      <c r="P89" s="92"/>
    </row>
    <row r="90" spans="1:17" ht="31.5" x14ac:dyDescent="0.2">
      <c r="A90" s="42"/>
      <c r="B90" s="168" t="s">
        <v>74</v>
      </c>
      <c r="C90" s="169" t="s">
        <v>113</v>
      </c>
      <c r="D90" s="170" t="s">
        <v>75</v>
      </c>
      <c r="E90" s="171"/>
      <c r="F90" s="172">
        <v>280</v>
      </c>
      <c r="G90" s="172"/>
      <c r="H90" s="172">
        <v>280</v>
      </c>
      <c r="I90" s="188">
        <v>0</v>
      </c>
      <c r="J90" s="189"/>
      <c r="K90" s="188">
        <v>0</v>
      </c>
      <c r="L90" s="172">
        <v>280</v>
      </c>
      <c r="M90" s="172"/>
      <c r="N90" s="172">
        <v>280</v>
      </c>
      <c r="O90" s="178"/>
      <c r="P90" s="92"/>
    </row>
    <row r="91" spans="1:17" ht="47.25" x14ac:dyDescent="0.2">
      <c r="A91" s="19" t="s">
        <v>114</v>
      </c>
      <c r="B91" s="182" t="s">
        <v>115</v>
      </c>
      <c r="C91" s="183" t="s">
        <v>116</v>
      </c>
      <c r="D91" s="184" t="s">
        <v>26</v>
      </c>
      <c r="E91" s="185"/>
      <c r="F91" s="186">
        <f t="shared" ref="F91:K91" si="17">F92+F102+F114</f>
        <v>36755.599999999999</v>
      </c>
      <c r="G91" s="186">
        <f>G92+G102+G114</f>
        <v>8165.9</v>
      </c>
      <c r="H91" s="186">
        <f>H92+H102+H114+H131</f>
        <v>44921.5</v>
      </c>
      <c r="I91" s="187">
        <f t="shared" si="17"/>
        <v>57252.9</v>
      </c>
      <c r="J91" s="186">
        <f t="shared" si="17"/>
        <v>0</v>
      </c>
      <c r="K91" s="187">
        <f t="shared" si="17"/>
        <v>57252.9</v>
      </c>
      <c r="L91" s="186">
        <f>L92+L102+L114</f>
        <v>94008.5</v>
      </c>
      <c r="M91" s="186">
        <f>M92+M102+M114+M131</f>
        <v>8165.9</v>
      </c>
      <c r="N91" s="186">
        <f>SUM(N92+N102+N114)+N131</f>
        <v>102174.40000000001</v>
      </c>
      <c r="O91" s="178"/>
      <c r="P91" s="92"/>
      <c r="Q91" s="25"/>
    </row>
    <row r="92" spans="1:17" ht="33.6" customHeight="1" x14ac:dyDescent="0.2">
      <c r="A92" s="49"/>
      <c r="B92" s="190" t="s">
        <v>117</v>
      </c>
      <c r="C92" s="191" t="s">
        <v>118</v>
      </c>
      <c r="D92" s="192" t="s">
        <v>26</v>
      </c>
      <c r="E92" s="193"/>
      <c r="F92" s="194">
        <f t="shared" ref="F92:N92" si="18">F93</f>
        <v>1449.1000000000001</v>
      </c>
      <c r="G92" s="194">
        <f t="shared" si="18"/>
        <v>0</v>
      </c>
      <c r="H92" s="194">
        <f t="shared" si="18"/>
        <v>1449.1000000000001</v>
      </c>
      <c r="I92" s="195">
        <f t="shared" si="18"/>
        <v>13560.400000000001</v>
      </c>
      <c r="J92" s="194">
        <f t="shared" si="18"/>
        <v>0</v>
      </c>
      <c r="K92" s="195">
        <f t="shared" si="18"/>
        <v>13560.400000000001</v>
      </c>
      <c r="L92" s="194">
        <f t="shared" si="18"/>
        <v>15009.5</v>
      </c>
      <c r="M92" s="194">
        <f t="shared" si="18"/>
        <v>0</v>
      </c>
      <c r="N92" s="194">
        <f t="shared" si="18"/>
        <v>15009.5</v>
      </c>
      <c r="O92" s="178"/>
      <c r="P92" s="92"/>
    </row>
    <row r="93" spans="1:17" ht="47.25" x14ac:dyDescent="0.2">
      <c r="A93" s="42"/>
      <c r="B93" s="168" t="s">
        <v>119</v>
      </c>
      <c r="C93" s="169" t="s">
        <v>120</v>
      </c>
      <c r="D93" s="170" t="s">
        <v>26</v>
      </c>
      <c r="E93" s="171"/>
      <c r="F93" s="172">
        <f>F100+F94+F96+F98</f>
        <v>1449.1000000000001</v>
      </c>
      <c r="G93" s="172">
        <f>G100+G94+G96+G98</f>
        <v>0</v>
      </c>
      <c r="H93" s="172">
        <f>H100+H94+H96+H98</f>
        <v>1449.1000000000001</v>
      </c>
      <c r="I93" s="188">
        <f>I100+I96+I98</f>
        <v>13560.400000000001</v>
      </c>
      <c r="J93" s="172">
        <f>J100+J94+J96</f>
        <v>0</v>
      </c>
      <c r="K93" s="188">
        <f>K100+K96+K98</f>
        <v>13560.400000000001</v>
      </c>
      <c r="L93" s="172">
        <f>L100+L94+L96+L98</f>
        <v>15009.5</v>
      </c>
      <c r="M93" s="172">
        <f>M100+M94+M96+M98</f>
        <v>0</v>
      </c>
      <c r="N93" s="172">
        <f>N100+N94+N96+N98</f>
        <v>15009.5</v>
      </c>
      <c r="O93" s="178"/>
      <c r="P93" s="92"/>
    </row>
    <row r="94" spans="1:17" ht="31.5" x14ac:dyDescent="0.2">
      <c r="A94" s="42"/>
      <c r="B94" s="198" t="s">
        <v>121</v>
      </c>
      <c r="C94" s="169" t="s">
        <v>122</v>
      </c>
      <c r="D94" s="170"/>
      <c r="E94" s="171"/>
      <c r="F94" s="172">
        <v>735.3</v>
      </c>
      <c r="G94" s="172"/>
      <c r="H94" s="172">
        <f>SUM(F94)</f>
        <v>735.3</v>
      </c>
      <c r="I94" s="188"/>
      <c r="J94" s="189"/>
      <c r="K94" s="188"/>
      <c r="L94" s="172">
        <f t="shared" ref="L94:N95" si="19">SUM(F94)</f>
        <v>735.3</v>
      </c>
      <c r="M94" s="172">
        <f t="shared" si="19"/>
        <v>0</v>
      </c>
      <c r="N94" s="172">
        <f t="shared" si="19"/>
        <v>735.3</v>
      </c>
      <c r="O94" s="178"/>
      <c r="P94" s="92"/>
    </row>
    <row r="95" spans="1:17" ht="31.5" x14ac:dyDescent="0.2">
      <c r="A95" s="42"/>
      <c r="B95" s="168" t="s">
        <v>35</v>
      </c>
      <c r="C95" s="169" t="s">
        <v>122</v>
      </c>
      <c r="D95" s="170" t="s">
        <v>36</v>
      </c>
      <c r="E95" s="171"/>
      <c r="F95" s="172">
        <v>735.3</v>
      </c>
      <c r="G95" s="172"/>
      <c r="H95" s="172">
        <f>SUM(F95)</f>
        <v>735.3</v>
      </c>
      <c r="I95" s="188"/>
      <c r="J95" s="189"/>
      <c r="K95" s="188"/>
      <c r="L95" s="172">
        <f t="shared" si="19"/>
        <v>735.3</v>
      </c>
      <c r="M95" s="172">
        <f t="shared" si="19"/>
        <v>0</v>
      </c>
      <c r="N95" s="172">
        <f t="shared" si="19"/>
        <v>735.3</v>
      </c>
      <c r="O95" s="178"/>
      <c r="P95" s="92"/>
    </row>
    <row r="96" spans="1:17" ht="63" x14ac:dyDescent="0.2">
      <c r="A96" s="42"/>
      <c r="B96" s="197" t="s">
        <v>450</v>
      </c>
      <c r="C96" s="169" t="s">
        <v>449</v>
      </c>
      <c r="D96" s="170"/>
      <c r="E96" s="171"/>
      <c r="F96" s="172">
        <f>SUM(F97)</f>
        <v>0</v>
      </c>
      <c r="G96" s="172"/>
      <c r="H96" s="172">
        <f>SUM(F96+G96)</f>
        <v>0</v>
      </c>
      <c r="I96" s="188">
        <f>SUM(I97)</f>
        <v>0</v>
      </c>
      <c r="J96" s="189"/>
      <c r="K96" s="188">
        <f>SUM(K97)</f>
        <v>0</v>
      </c>
      <c r="L96" s="172">
        <f>SUM(F96+I96)</f>
        <v>0</v>
      </c>
      <c r="M96" s="172">
        <f t="shared" ref="M96:N99" si="20">SUM(G96)+J96</f>
        <v>0</v>
      </c>
      <c r="N96" s="172">
        <f t="shared" si="20"/>
        <v>0</v>
      </c>
      <c r="O96" s="178"/>
      <c r="P96" s="92"/>
    </row>
    <row r="97" spans="1:16" ht="31.5" x14ac:dyDescent="0.2">
      <c r="A97" s="42"/>
      <c r="B97" s="168" t="s">
        <v>35</v>
      </c>
      <c r="C97" s="169" t="s">
        <v>449</v>
      </c>
      <c r="D97" s="170" t="s">
        <v>36</v>
      </c>
      <c r="E97" s="171"/>
      <c r="F97" s="172">
        <v>0</v>
      </c>
      <c r="G97" s="172"/>
      <c r="H97" s="172">
        <f>SUM(F97+G97)</f>
        <v>0</v>
      </c>
      <c r="I97" s="188">
        <v>0</v>
      </c>
      <c r="J97" s="189"/>
      <c r="K97" s="188">
        <v>0</v>
      </c>
      <c r="L97" s="172">
        <f>SUM(F97+I97)</f>
        <v>0</v>
      </c>
      <c r="M97" s="172">
        <f t="shared" si="20"/>
        <v>0</v>
      </c>
      <c r="N97" s="172">
        <f t="shared" si="20"/>
        <v>0</v>
      </c>
      <c r="O97" s="178"/>
      <c r="P97" s="92"/>
    </row>
    <row r="98" spans="1:16" ht="63" x14ac:dyDescent="0.2">
      <c r="A98" s="42"/>
      <c r="B98" s="197" t="s">
        <v>450</v>
      </c>
      <c r="C98" s="199" t="s">
        <v>459</v>
      </c>
      <c r="D98" s="170"/>
      <c r="E98" s="171"/>
      <c r="F98" s="172">
        <f>SUM(F99)</f>
        <v>294.2</v>
      </c>
      <c r="G98" s="172"/>
      <c r="H98" s="172">
        <f>SUM(H99)</f>
        <v>294.2</v>
      </c>
      <c r="I98" s="188">
        <v>5589.3</v>
      </c>
      <c r="J98" s="189"/>
      <c r="K98" s="189">
        <v>5589.3</v>
      </c>
      <c r="L98" s="172">
        <f>SUM(F98+I98)</f>
        <v>5883.5</v>
      </c>
      <c r="M98" s="172">
        <f t="shared" si="20"/>
        <v>0</v>
      </c>
      <c r="N98" s="172">
        <f>SUM(H98+K98)</f>
        <v>5883.5</v>
      </c>
      <c r="O98" s="178"/>
      <c r="P98" s="92"/>
    </row>
    <row r="99" spans="1:16" ht="31.5" x14ac:dyDescent="0.2">
      <c r="A99" s="42"/>
      <c r="B99" s="168" t="s">
        <v>35</v>
      </c>
      <c r="C99" s="199" t="s">
        <v>459</v>
      </c>
      <c r="D99" s="170" t="s">
        <v>36</v>
      </c>
      <c r="E99" s="171"/>
      <c r="F99" s="172">
        <v>294.2</v>
      </c>
      <c r="G99" s="172"/>
      <c r="H99" s="172">
        <v>294.2</v>
      </c>
      <c r="I99" s="188">
        <v>5589.3</v>
      </c>
      <c r="J99" s="189"/>
      <c r="K99" s="189">
        <v>5589.3</v>
      </c>
      <c r="L99" s="172">
        <f>SUM(F99+I99)</f>
        <v>5883.5</v>
      </c>
      <c r="M99" s="172">
        <f t="shared" si="20"/>
        <v>0</v>
      </c>
      <c r="N99" s="172">
        <f t="shared" si="20"/>
        <v>5883.5</v>
      </c>
      <c r="O99" s="178"/>
      <c r="P99" s="92"/>
    </row>
    <row r="100" spans="1:16" ht="36.6" customHeight="1" x14ac:dyDescent="0.2">
      <c r="A100" s="42"/>
      <c r="B100" s="168" t="s">
        <v>123</v>
      </c>
      <c r="C100" s="169" t="s">
        <v>124</v>
      </c>
      <c r="D100" s="170" t="s">
        <v>26</v>
      </c>
      <c r="E100" s="171"/>
      <c r="F100" s="172">
        <f t="shared" ref="F100:N100" si="21">F101</f>
        <v>419.6</v>
      </c>
      <c r="G100" s="172">
        <f t="shared" si="21"/>
        <v>0</v>
      </c>
      <c r="H100" s="172">
        <f t="shared" si="21"/>
        <v>419.6</v>
      </c>
      <c r="I100" s="188">
        <f t="shared" si="21"/>
        <v>7971.1</v>
      </c>
      <c r="J100" s="188">
        <f t="shared" si="21"/>
        <v>0</v>
      </c>
      <c r="K100" s="188">
        <f t="shared" si="21"/>
        <v>7971.1</v>
      </c>
      <c r="L100" s="172">
        <f t="shared" si="21"/>
        <v>8390.7000000000007</v>
      </c>
      <c r="M100" s="172">
        <f t="shared" si="21"/>
        <v>0</v>
      </c>
      <c r="N100" s="172">
        <f t="shared" si="21"/>
        <v>8390.7000000000007</v>
      </c>
      <c r="O100" s="178"/>
      <c r="P100" s="92"/>
    </row>
    <row r="101" spans="1:16" ht="31.5" x14ac:dyDescent="0.2">
      <c r="A101" s="42"/>
      <c r="B101" s="168" t="s">
        <v>35</v>
      </c>
      <c r="C101" s="169" t="s">
        <v>124</v>
      </c>
      <c r="D101" s="170" t="s">
        <v>36</v>
      </c>
      <c r="E101" s="171"/>
      <c r="F101" s="172">
        <v>419.6</v>
      </c>
      <c r="G101" s="172"/>
      <c r="H101" s="172">
        <f>419.6+G101</f>
        <v>419.6</v>
      </c>
      <c r="I101" s="188">
        <v>7971.1</v>
      </c>
      <c r="J101" s="189"/>
      <c r="K101" s="188">
        <f>7971.1+J101</f>
        <v>7971.1</v>
      </c>
      <c r="L101" s="172">
        <f>419.6+I101</f>
        <v>8390.7000000000007</v>
      </c>
      <c r="M101" s="172">
        <f>SUM(J101)</f>
        <v>0</v>
      </c>
      <c r="N101" s="172">
        <f>419.6+K101</f>
        <v>8390.7000000000007</v>
      </c>
      <c r="O101" s="178"/>
      <c r="P101" s="92"/>
    </row>
    <row r="102" spans="1:16" ht="35.450000000000003" customHeight="1" x14ac:dyDescent="0.2">
      <c r="A102" s="49"/>
      <c r="B102" s="190" t="s">
        <v>125</v>
      </c>
      <c r="C102" s="191" t="s">
        <v>126</v>
      </c>
      <c r="D102" s="192" t="s">
        <v>26</v>
      </c>
      <c r="E102" s="193"/>
      <c r="F102" s="194">
        <f t="shared" ref="F102:N102" si="22">F103+F111</f>
        <v>17303.3</v>
      </c>
      <c r="G102" s="194">
        <f>G103+G111</f>
        <v>8000</v>
      </c>
      <c r="H102" s="194">
        <f>H103+H111</f>
        <v>25303.3</v>
      </c>
      <c r="I102" s="195">
        <f t="shared" si="22"/>
        <v>43692.5</v>
      </c>
      <c r="J102" s="194">
        <f t="shared" si="22"/>
        <v>0</v>
      </c>
      <c r="K102" s="195">
        <f t="shared" si="22"/>
        <v>43692.5</v>
      </c>
      <c r="L102" s="194">
        <f t="shared" si="22"/>
        <v>60995.8</v>
      </c>
      <c r="M102" s="194">
        <f t="shared" si="22"/>
        <v>8000</v>
      </c>
      <c r="N102" s="194">
        <f t="shared" si="22"/>
        <v>68995.8</v>
      </c>
      <c r="O102" s="178"/>
      <c r="P102" s="92"/>
    </row>
    <row r="103" spans="1:16" ht="31.5" x14ac:dyDescent="0.2">
      <c r="A103" s="42"/>
      <c r="B103" s="168" t="s">
        <v>127</v>
      </c>
      <c r="C103" s="169" t="s">
        <v>128</v>
      </c>
      <c r="D103" s="170" t="s">
        <v>26</v>
      </c>
      <c r="E103" s="171"/>
      <c r="F103" s="188">
        <f>F104+F109+F107</f>
        <v>10070.299999999999</v>
      </c>
      <c r="G103" s="188">
        <f t="shared" ref="G103:N103" si="23">G104+G109+G107</f>
        <v>8000</v>
      </c>
      <c r="H103" s="188">
        <f t="shared" si="23"/>
        <v>18070.3</v>
      </c>
      <c r="I103" s="188">
        <f t="shared" si="23"/>
        <v>43692.5</v>
      </c>
      <c r="J103" s="188">
        <f t="shared" si="23"/>
        <v>0</v>
      </c>
      <c r="K103" s="188">
        <f t="shared" si="23"/>
        <v>43692.5</v>
      </c>
      <c r="L103" s="188">
        <f t="shared" si="23"/>
        <v>53762.8</v>
      </c>
      <c r="M103" s="188">
        <f t="shared" si="23"/>
        <v>8000</v>
      </c>
      <c r="N103" s="188">
        <f t="shared" si="23"/>
        <v>61762.8</v>
      </c>
      <c r="O103" s="178"/>
      <c r="P103" s="92"/>
    </row>
    <row r="104" spans="1:16" ht="49.15" customHeight="1" x14ac:dyDescent="0.2">
      <c r="A104" s="42"/>
      <c r="B104" s="168" t="s">
        <v>129</v>
      </c>
      <c r="C104" s="169" t="s">
        <v>130</v>
      </c>
      <c r="D104" s="170" t="s">
        <v>26</v>
      </c>
      <c r="E104" s="171"/>
      <c r="F104" s="172">
        <f>F105+F106</f>
        <v>10070.299999999999</v>
      </c>
      <c r="G104" s="172">
        <f>G105+G106</f>
        <v>8000</v>
      </c>
      <c r="H104" s="172">
        <f>H105+H106</f>
        <v>18070.3</v>
      </c>
      <c r="I104" s="188">
        <f>I105+I106</f>
        <v>17036</v>
      </c>
      <c r="J104" s="189">
        <f>SUM(J105+J106)</f>
        <v>0</v>
      </c>
      <c r="K104" s="188">
        <f>K105+K106</f>
        <v>17036</v>
      </c>
      <c r="L104" s="172">
        <f>L105+L106</f>
        <v>27106.3</v>
      </c>
      <c r="M104" s="172">
        <f>M105+M106</f>
        <v>8000</v>
      </c>
      <c r="N104" s="172">
        <f>N105+N106</f>
        <v>35106.300000000003</v>
      </c>
      <c r="O104" s="178"/>
      <c r="P104" s="92"/>
    </row>
    <row r="105" spans="1:16" ht="31.5" x14ac:dyDescent="0.2">
      <c r="A105" s="42"/>
      <c r="B105" s="168" t="s">
        <v>35</v>
      </c>
      <c r="C105" s="169" t="s">
        <v>130</v>
      </c>
      <c r="D105" s="170" t="s">
        <v>36</v>
      </c>
      <c r="E105" s="171"/>
      <c r="F105" s="172">
        <v>9590.2999999999993</v>
      </c>
      <c r="G105" s="172">
        <v>8000</v>
      </c>
      <c r="H105" s="172">
        <f>SUM(F105)+G105</f>
        <v>17590.3</v>
      </c>
      <c r="I105" s="188">
        <v>0</v>
      </c>
      <c r="J105" s="189">
        <f>26656.5-26656.5</f>
        <v>0</v>
      </c>
      <c r="K105" s="189">
        <f>SUM(J105)</f>
        <v>0</v>
      </c>
      <c r="L105" s="172">
        <f>SUM(F105)</f>
        <v>9590.2999999999993</v>
      </c>
      <c r="M105" s="172">
        <f>SUM(J105)+G105</f>
        <v>8000</v>
      </c>
      <c r="N105" s="172">
        <f>SUM(H105)</f>
        <v>17590.3</v>
      </c>
      <c r="O105" s="178"/>
      <c r="P105" s="92"/>
    </row>
    <row r="106" spans="1:16" ht="31.5" x14ac:dyDescent="0.2">
      <c r="A106" s="42"/>
      <c r="B106" s="168" t="s">
        <v>131</v>
      </c>
      <c r="C106" s="169" t="s">
        <v>130</v>
      </c>
      <c r="D106" s="170" t="s">
        <v>132</v>
      </c>
      <c r="E106" s="171"/>
      <c r="F106" s="172">
        <v>480</v>
      </c>
      <c r="G106" s="172"/>
      <c r="H106" s="172">
        <f>SUM(F106:G106)</f>
        <v>480</v>
      </c>
      <c r="I106" s="188">
        <v>17036</v>
      </c>
      <c r="J106" s="172"/>
      <c r="K106" s="189">
        <f>SUM(I106)</f>
        <v>17036</v>
      </c>
      <c r="L106" s="172">
        <f>SUM(F106+I106)</f>
        <v>17516</v>
      </c>
      <c r="M106" s="172">
        <f>SUM(J106)+G106</f>
        <v>0</v>
      </c>
      <c r="N106" s="172">
        <f>SUM(H106+K106)</f>
        <v>17516</v>
      </c>
      <c r="O106" s="178"/>
      <c r="P106" s="92"/>
    </row>
    <row r="107" spans="1:16" ht="94.5" x14ac:dyDescent="0.2">
      <c r="A107" s="42"/>
      <c r="B107" s="168" t="s">
        <v>133</v>
      </c>
      <c r="C107" s="169" t="s">
        <v>134</v>
      </c>
      <c r="D107" s="170"/>
      <c r="E107" s="171"/>
      <c r="F107" s="188">
        <f>F108</f>
        <v>0</v>
      </c>
      <c r="G107" s="188">
        <f t="shared" ref="G107:N107" si="24">G108</f>
        <v>0</v>
      </c>
      <c r="H107" s="188">
        <f t="shared" si="24"/>
        <v>0</v>
      </c>
      <c r="I107" s="188">
        <f t="shared" si="24"/>
        <v>26656.5</v>
      </c>
      <c r="J107" s="188">
        <f t="shared" si="24"/>
        <v>0</v>
      </c>
      <c r="K107" s="188">
        <f t="shared" si="24"/>
        <v>26656.5</v>
      </c>
      <c r="L107" s="188">
        <f t="shared" si="24"/>
        <v>26656.5</v>
      </c>
      <c r="M107" s="188">
        <f t="shared" si="24"/>
        <v>0</v>
      </c>
      <c r="N107" s="188">
        <f t="shared" si="24"/>
        <v>26656.5</v>
      </c>
      <c r="O107" s="178"/>
      <c r="P107" s="92"/>
    </row>
    <row r="108" spans="1:16" ht="34.15" customHeight="1" x14ac:dyDescent="0.2">
      <c r="A108" s="42"/>
      <c r="B108" s="168" t="s">
        <v>35</v>
      </c>
      <c r="C108" s="169" t="s">
        <v>134</v>
      </c>
      <c r="D108" s="170" t="s">
        <v>36</v>
      </c>
      <c r="E108" s="171"/>
      <c r="F108" s="172"/>
      <c r="G108" s="172"/>
      <c r="H108" s="172"/>
      <c r="I108" s="188">
        <v>26656.5</v>
      </c>
      <c r="J108" s="189"/>
      <c r="K108" s="189">
        <f>SUM(I108:J108)</f>
        <v>26656.5</v>
      </c>
      <c r="L108" s="172">
        <f>F108+I108</f>
        <v>26656.5</v>
      </c>
      <c r="M108" s="172">
        <f>G108+J108</f>
        <v>0</v>
      </c>
      <c r="N108" s="172">
        <f>H108+K108</f>
        <v>26656.5</v>
      </c>
      <c r="O108" s="178"/>
      <c r="P108" s="92"/>
    </row>
    <row r="109" spans="1:16" ht="63" x14ac:dyDescent="0.2">
      <c r="A109" s="42"/>
      <c r="B109" s="168" t="s">
        <v>135</v>
      </c>
      <c r="C109" s="169" t="s">
        <v>136</v>
      </c>
      <c r="D109" s="170" t="s">
        <v>26</v>
      </c>
      <c r="E109" s="171"/>
      <c r="F109" s="172">
        <f>F110</f>
        <v>0</v>
      </c>
      <c r="G109" s="172">
        <f>G110</f>
        <v>0</v>
      </c>
      <c r="H109" s="172">
        <f>H110</f>
        <v>0</v>
      </c>
      <c r="I109" s="188">
        <f>I110</f>
        <v>0</v>
      </c>
      <c r="J109" s="189"/>
      <c r="K109" s="188">
        <f>K110</f>
        <v>0</v>
      </c>
      <c r="L109" s="172">
        <f>L110</f>
        <v>0</v>
      </c>
      <c r="M109" s="172">
        <f>M110</f>
        <v>0</v>
      </c>
      <c r="N109" s="172">
        <f>N110</f>
        <v>0</v>
      </c>
      <c r="O109" s="178"/>
      <c r="P109" s="92"/>
    </row>
    <row r="110" spans="1:16" ht="31.5" x14ac:dyDescent="0.2">
      <c r="A110" s="42"/>
      <c r="B110" s="168" t="s">
        <v>35</v>
      </c>
      <c r="C110" s="169" t="s">
        <v>136</v>
      </c>
      <c r="D110" s="170" t="s">
        <v>36</v>
      </c>
      <c r="E110" s="171"/>
      <c r="F110" s="172">
        <v>0</v>
      </c>
      <c r="G110" s="172"/>
      <c r="H110" s="172">
        <v>0</v>
      </c>
      <c r="I110" s="188">
        <v>0</v>
      </c>
      <c r="J110" s="189"/>
      <c r="K110" s="188">
        <v>0</v>
      </c>
      <c r="L110" s="172">
        <f>SUM(F110)</f>
        <v>0</v>
      </c>
      <c r="M110" s="172">
        <f>SUM(G110)</f>
        <v>0</v>
      </c>
      <c r="N110" s="172">
        <f>SUM(H110)</f>
        <v>0</v>
      </c>
      <c r="O110" s="178"/>
      <c r="P110" s="92"/>
    </row>
    <row r="111" spans="1:16" ht="31.5" x14ac:dyDescent="0.2">
      <c r="A111" s="42"/>
      <c r="B111" s="168" t="s">
        <v>137</v>
      </c>
      <c r="C111" s="169" t="s">
        <v>138</v>
      </c>
      <c r="D111" s="170" t="s">
        <v>26</v>
      </c>
      <c r="E111" s="171"/>
      <c r="F111" s="172">
        <f t="shared" ref="F111:N112" si="25">F112</f>
        <v>7233</v>
      </c>
      <c r="G111" s="172">
        <f t="shared" si="25"/>
        <v>0</v>
      </c>
      <c r="H111" s="172">
        <f t="shared" si="25"/>
        <v>7233</v>
      </c>
      <c r="I111" s="188">
        <f t="shared" si="25"/>
        <v>0</v>
      </c>
      <c r="J111" s="189"/>
      <c r="K111" s="188">
        <f t="shared" si="25"/>
        <v>0</v>
      </c>
      <c r="L111" s="172">
        <f t="shared" si="25"/>
        <v>7233</v>
      </c>
      <c r="M111" s="172">
        <f t="shared" si="25"/>
        <v>0</v>
      </c>
      <c r="N111" s="172">
        <f t="shared" si="25"/>
        <v>7233</v>
      </c>
      <c r="O111" s="178"/>
      <c r="P111" s="92"/>
    </row>
    <row r="112" spans="1:16" ht="63" x14ac:dyDescent="0.2">
      <c r="A112" s="42"/>
      <c r="B112" s="168" t="s">
        <v>135</v>
      </c>
      <c r="C112" s="169" t="s">
        <v>139</v>
      </c>
      <c r="D112" s="170" t="s">
        <v>26</v>
      </c>
      <c r="E112" s="171"/>
      <c r="F112" s="172">
        <f t="shared" si="25"/>
        <v>7233</v>
      </c>
      <c r="G112" s="172">
        <f t="shared" si="25"/>
        <v>0</v>
      </c>
      <c r="H112" s="172">
        <f t="shared" si="25"/>
        <v>7233</v>
      </c>
      <c r="I112" s="188">
        <f t="shared" si="25"/>
        <v>0</v>
      </c>
      <c r="J112" s="189"/>
      <c r="K112" s="188">
        <f t="shared" si="25"/>
        <v>0</v>
      </c>
      <c r="L112" s="172">
        <f t="shared" si="25"/>
        <v>7233</v>
      </c>
      <c r="M112" s="172">
        <f t="shared" si="25"/>
        <v>0</v>
      </c>
      <c r="N112" s="172">
        <f t="shared" si="25"/>
        <v>7233</v>
      </c>
      <c r="O112" s="178"/>
      <c r="P112" s="92"/>
    </row>
    <row r="113" spans="1:17" ht="31.5" x14ac:dyDescent="0.2">
      <c r="A113" s="42"/>
      <c r="B113" s="168" t="s">
        <v>35</v>
      </c>
      <c r="C113" s="169" t="s">
        <v>139</v>
      </c>
      <c r="D113" s="170" t="s">
        <v>36</v>
      </c>
      <c r="E113" s="171"/>
      <c r="F113" s="172">
        <v>7233</v>
      </c>
      <c r="G113" s="172"/>
      <c r="H113" s="172">
        <f>SUM(F113)</f>
        <v>7233</v>
      </c>
      <c r="I113" s="188">
        <v>0</v>
      </c>
      <c r="J113" s="189"/>
      <c r="K113" s="188">
        <v>0</v>
      </c>
      <c r="L113" s="172">
        <f>SUM(F113)</f>
        <v>7233</v>
      </c>
      <c r="M113" s="172">
        <f>SUM(G113)</f>
        <v>0</v>
      </c>
      <c r="N113" s="172">
        <f>SUM(H113)</f>
        <v>7233</v>
      </c>
      <c r="O113" s="178"/>
      <c r="P113" s="92"/>
    </row>
    <row r="114" spans="1:17" ht="18.75" x14ac:dyDescent="0.2">
      <c r="A114" s="49"/>
      <c r="B114" s="190" t="s">
        <v>140</v>
      </c>
      <c r="C114" s="191" t="s">
        <v>141</v>
      </c>
      <c r="D114" s="192" t="s">
        <v>26</v>
      </c>
      <c r="E114" s="193"/>
      <c r="F114" s="194">
        <f>F115+F124+F119+F127</f>
        <v>18003.2</v>
      </c>
      <c r="G114" s="172">
        <f>G115</f>
        <v>165.9</v>
      </c>
      <c r="H114" s="194">
        <f>H115+H124+H119+H127</f>
        <v>18169.100000000002</v>
      </c>
      <c r="I114" s="195">
        <f>I115+I124</f>
        <v>0</v>
      </c>
      <c r="J114" s="194">
        <f>J115+J124</f>
        <v>0</v>
      </c>
      <c r="K114" s="195">
        <f>K115+K124</f>
        <v>0</v>
      </c>
      <c r="L114" s="194">
        <f>L115+L124+L119+L127</f>
        <v>18003.2</v>
      </c>
      <c r="M114" s="194">
        <f>M115+M124+M119+M127+M122</f>
        <v>165.9</v>
      </c>
      <c r="N114" s="194">
        <f>N115+N124+N119+N127</f>
        <v>18169.100000000002</v>
      </c>
      <c r="O114" s="178"/>
      <c r="P114" s="92"/>
      <c r="Q114" s="55"/>
    </row>
    <row r="115" spans="1:17" ht="47.25" x14ac:dyDescent="0.2">
      <c r="A115" s="42"/>
      <c r="B115" s="168" t="s">
        <v>142</v>
      </c>
      <c r="C115" s="169" t="s">
        <v>143</v>
      </c>
      <c r="D115" s="170" t="s">
        <v>26</v>
      </c>
      <c r="E115" s="171"/>
      <c r="F115" s="172">
        <f>F116</f>
        <v>9124.6</v>
      </c>
      <c r="G115" s="172">
        <f>G116</f>
        <v>165.9</v>
      </c>
      <c r="H115" s="172">
        <f>H116</f>
        <v>9290.5</v>
      </c>
      <c r="I115" s="188">
        <f>I116</f>
        <v>0</v>
      </c>
      <c r="J115" s="189"/>
      <c r="K115" s="188">
        <f>K116</f>
        <v>0</v>
      </c>
      <c r="L115" s="172">
        <f>L116</f>
        <v>9124.6</v>
      </c>
      <c r="M115" s="172">
        <f>M116</f>
        <v>165.9</v>
      </c>
      <c r="N115" s="172">
        <f>N116</f>
        <v>9290.5</v>
      </c>
      <c r="O115" s="178"/>
      <c r="P115" s="92"/>
    </row>
    <row r="116" spans="1:17" ht="31.5" x14ac:dyDescent="0.2">
      <c r="A116" s="42"/>
      <c r="B116" s="168" t="s">
        <v>39</v>
      </c>
      <c r="C116" s="169" t="s">
        <v>144</v>
      </c>
      <c r="D116" s="170" t="s">
        <v>26</v>
      </c>
      <c r="E116" s="171"/>
      <c r="F116" s="172">
        <f>F117+F118</f>
        <v>9124.6</v>
      </c>
      <c r="G116" s="172">
        <f>G117+G118</f>
        <v>165.9</v>
      </c>
      <c r="H116" s="172">
        <f>H117+H118</f>
        <v>9290.5</v>
      </c>
      <c r="I116" s="188">
        <f>I117+I118</f>
        <v>0</v>
      </c>
      <c r="J116" s="189"/>
      <c r="K116" s="188">
        <f>K117+K118</f>
        <v>0</v>
      </c>
      <c r="L116" s="172">
        <f>L117+L118</f>
        <v>9124.6</v>
      </c>
      <c r="M116" s="172">
        <f>M117+M118</f>
        <v>165.9</v>
      </c>
      <c r="N116" s="172">
        <f>N117+N118</f>
        <v>9290.5</v>
      </c>
      <c r="O116" s="178"/>
      <c r="P116" s="92"/>
    </row>
    <row r="117" spans="1:17" ht="64.900000000000006" customHeight="1" x14ac:dyDescent="0.2">
      <c r="A117" s="42"/>
      <c r="B117" s="168" t="s">
        <v>31</v>
      </c>
      <c r="C117" s="169" t="s">
        <v>144</v>
      </c>
      <c r="D117" s="170" t="s">
        <v>32</v>
      </c>
      <c r="E117" s="171"/>
      <c r="F117" s="172">
        <v>8871.2000000000007</v>
      </c>
      <c r="G117" s="172"/>
      <c r="H117" s="172">
        <f>SUM(F117)</f>
        <v>8871.2000000000007</v>
      </c>
      <c r="I117" s="188">
        <v>0</v>
      </c>
      <c r="J117" s="189"/>
      <c r="K117" s="188">
        <v>0</v>
      </c>
      <c r="L117" s="172">
        <f>SUM(F117)</f>
        <v>8871.2000000000007</v>
      </c>
      <c r="M117" s="172">
        <f>SUM(G117)</f>
        <v>0</v>
      </c>
      <c r="N117" s="172">
        <f>SUM(H117)</f>
        <v>8871.2000000000007</v>
      </c>
      <c r="O117" s="178"/>
      <c r="P117" s="92"/>
    </row>
    <row r="118" spans="1:17" ht="31.5" x14ac:dyDescent="0.2">
      <c r="A118" s="42"/>
      <c r="B118" s="168" t="s">
        <v>35</v>
      </c>
      <c r="C118" s="169" t="s">
        <v>144</v>
      </c>
      <c r="D118" s="170" t="s">
        <v>36</v>
      </c>
      <c r="E118" s="171"/>
      <c r="F118" s="172">
        <v>253.4</v>
      </c>
      <c r="G118" s="172">
        <v>165.9</v>
      </c>
      <c r="H118" s="172">
        <f>SUM(F118)+G118</f>
        <v>419.3</v>
      </c>
      <c r="I118" s="188">
        <v>0</v>
      </c>
      <c r="J118" s="189"/>
      <c r="K118" s="188">
        <v>0</v>
      </c>
      <c r="L118" s="172">
        <f t="shared" ref="L118:N122" si="26">SUM(F118)</f>
        <v>253.4</v>
      </c>
      <c r="M118" s="172">
        <f t="shared" si="26"/>
        <v>165.9</v>
      </c>
      <c r="N118" s="172">
        <f t="shared" si="26"/>
        <v>419.3</v>
      </c>
      <c r="O118" s="178"/>
      <c r="P118" s="92"/>
    </row>
    <row r="119" spans="1:17" ht="18.75" x14ac:dyDescent="0.2">
      <c r="A119" s="42"/>
      <c r="B119" s="168" t="s">
        <v>145</v>
      </c>
      <c r="C119" s="169" t="s">
        <v>146</v>
      </c>
      <c r="D119" s="170"/>
      <c r="E119" s="171"/>
      <c r="F119" s="172">
        <f>SUM(F121)</f>
        <v>896.4</v>
      </c>
      <c r="G119" s="172"/>
      <c r="H119" s="172">
        <f>SUM(H121)</f>
        <v>896.4</v>
      </c>
      <c r="I119" s="188"/>
      <c r="J119" s="189"/>
      <c r="K119" s="188"/>
      <c r="L119" s="172">
        <f t="shared" si="26"/>
        <v>896.4</v>
      </c>
      <c r="M119" s="172">
        <f t="shared" si="26"/>
        <v>0</v>
      </c>
      <c r="N119" s="172">
        <f t="shared" si="26"/>
        <v>896.4</v>
      </c>
      <c r="O119" s="178"/>
      <c r="P119" s="92"/>
    </row>
    <row r="120" spans="1:17" ht="18.75" x14ac:dyDescent="0.2">
      <c r="A120" s="42"/>
      <c r="B120" s="168" t="s">
        <v>147</v>
      </c>
      <c r="C120" s="169" t="s">
        <v>148</v>
      </c>
      <c r="D120" s="170"/>
      <c r="E120" s="171"/>
      <c r="F120" s="172">
        <v>896.4</v>
      </c>
      <c r="G120" s="172"/>
      <c r="H120" s="172">
        <f>SUM(F120)+G120</f>
        <v>896.4</v>
      </c>
      <c r="I120" s="188"/>
      <c r="J120" s="189"/>
      <c r="K120" s="188"/>
      <c r="L120" s="172">
        <f t="shared" si="26"/>
        <v>896.4</v>
      </c>
      <c r="M120" s="172">
        <f t="shared" si="26"/>
        <v>0</v>
      </c>
      <c r="N120" s="172">
        <f t="shared" si="26"/>
        <v>896.4</v>
      </c>
      <c r="O120" s="178"/>
      <c r="P120" s="92"/>
    </row>
    <row r="121" spans="1:17" ht="24" customHeight="1" x14ac:dyDescent="0.2">
      <c r="A121" s="42"/>
      <c r="B121" s="168" t="s">
        <v>35</v>
      </c>
      <c r="C121" s="169" t="s">
        <v>148</v>
      </c>
      <c r="D121" s="170" t="s">
        <v>36</v>
      </c>
      <c r="E121" s="171"/>
      <c r="F121" s="172">
        <v>896.4</v>
      </c>
      <c r="G121" s="172"/>
      <c r="H121" s="172">
        <f>SUM(F121)+G121</f>
        <v>896.4</v>
      </c>
      <c r="I121" s="188"/>
      <c r="J121" s="189"/>
      <c r="K121" s="188"/>
      <c r="L121" s="172">
        <f t="shared" si="26"/>
        <v>896.4</v>
      </c>
      <c r="M121" s="172">
        <f t="shared" si="26"/>
        <v>0</v>
      </c>
      <c r="N121" s="172">
        <f t="shared" si="26"/>
        <v>896.4</v>
      </c>
      <c r="O121" s="178"/>
      <c r="P121" s="92"/>
    </row>
    <row r="122" spans="1:17" ht="31.5" hidden="1" x14ac:dyDescent="0.2">
      <c r="A122" s="42"/>
      <c r="B122" s="168" t="s">
        <v>488</v>
      </c>
      <c r="C122" s="169" t="s">
        <v>487</v>
      </c>
      <c r="D122" s="170"/>
      <c r="E122" s="171"/>
      <c r="F122" s="172"/>
      <c r="G122" s="172"/>
      <c r="H122" s="172">
        <f>SUM(G122)</f>
        <v>0</v>
      </c>
      <c r="I122" s="188"/>
      <c r="J122" s="189"/>
      <c r="K122" s="188"/>
      <c r="L122" s="172"/>
      <c r="M122" s="172">
        <f>SUM(G122)</f>
        <v>0</v>
      </c>
      <c r="N122" s="172">
        <f t="shared" si="26"/>
        <v>0</v>
      </c>
      <c r="O122" s="178"/>
      <c r="P122" s="92"/>
    </row>
    <row r="123" spans="1:17" ht="31.5" hidden="1" x14ac:dyDescent="0.2">
      <c r="A123" s="42"/>
      <c r="B123" s="168" t="s">
        <v>131</v>
      </c>
      <c r="C123" s="169" t="s">
        <v>487</v>
      </c>
      <c r="D123" s="170" t="s">
        <v>132</v>
      </c>
      <c r="E123" s="171"/>
      <c r="F123" s="172"/>
      <c r="G123" s="172"/>
      <c r="H123" s="172">
        <f>SUM(G123)</f>
        <v>0</v>
      </c>
      <c r="I123" s="188"/>
      <c r="J123" s="189"/>
      <c r="K123" s="188"/>
      <c r="L123" s="172"/>
      <c r="M123" s="172">
        <f>SUM(G123)</f>
        <v>0</v>
      </c>
      <c r="N123" s="172">
        <f>SUM(H123)</f>
        <v>0</v>
      </c>
      <c r="O123" s="178"/>
      <c r="P123" s="92"/>
    </row>
    <row r="124" spans="1:17" ht="47.25" x14ac:dyDescent="0.2">
      <c r="A124" s="42"/>
      <c r="B124" s="168" t="s">
        <v>149</v>
      </c>
      <c r="C124" s="169" t="s">
        <v>150</v>
      </c>
      <c r="D124" s="170" t="s">
        <v>26</v>
      </c>
      <c r="E124" s="171"/>
      <c r="F124" s="172">
        <f t="shared" ref="F124:N125" si="27">F125</f>
        <v>7530.9</v>
      </c>
      <c r="G124" s="172">
        <f t="shared" si="27"/>
        <v>0</v>
      </c>
      <c r="H124" s="172">
        <f t="shared" si="27"/>
        <v>7530.9</v>
      </c>
      <c r="I124" s="188">
        <f t="shared" si="27"/>
        <v>0</v>
      </c>
      <c r="J124" s="189"/>
      <c r="K124" s="188">
        <f t="shared" si="27"/>
        <v>0</v>
      </c>
      <c r="L124" s="172">
        <f t="shared" si="27"/>
        <v>7530.9</v>
      </c>
      <c r="M124" s="172">
        <f t="shared" si="27"/>
        <v>0</v>
      </c>
      <c r="N124" s="172">
        <f t="shared" si="27"/>
        <v>7530.9</v>
      </c>
      <c r="O124" s="178"/>
      <c r="P124" s="92"/>
    </row>
    <row r="125" spans="1:17" ht="31.5" x14ac:dyDescent="0.2">
      <c r="A125" s="42"/>
      <c r="B125" s="168" t="s">
        <v>39</v>
      </c>
      <c r="C125" s="169" t="s">
        <v>151</v>
      </c>
      <c r="D125" s="170" t="s">
        <v>26</v>
      </c>
      <c r="E125" s="171"/>
      <c r="F125" s="172">
        <f t="shared" si="27"/>
        <v>7530.9</v>
      </c>
      <c r="G125" s="172">
        <f t="shared" si="27"/>
        <v>0</v>
      </c>
      <c r="H125" s="172">
        <f t="shared" si="27"/>
        <v>7530.9</v>
      </c>
      <c r="I125" s="188">
        <f t="shared" si="27"/>
        <v>0</v>
      </c>
      <c r="J125" s="189"/>
      <c r="K125" s="188">
        <f t="shared" si="27"/>
        <v>0</v>
      </c>
      <c r="L125" s="172">
        <f t="shared" si="27"/>
        <v>7530.9</v>
      </c>
      <c r="M125" s="172">
        <f t="shared" si="27"/>
        <v>0</v>
      </c>
      <c r="N125" s="172">
        <f t="shared" si="27"/>
        <v>7530.9</v>
      </c>
      <c r="O125" s="178"/>
      <c r="P125" s="92"/>
    </row>
    <row r="126" spans="1:17" ht="31.5" x14ac:dyDescent="0.2">
      <c r="A126" s="42"/>
      <c r="B126" s="168" t="s">
        <v>74</v>
      </c>
      <c r="C126" s="169" t="s">
        <v>151</v>
      </c>
      <c r="D126" s="170" t="s">
        <v>75</v>
      </c>
      <c r="E126" s="171"/>
      <c r="F126" s="172">
        <v>7530.9</v>
      </c>
      <c r="G126" s="172"/>
      <c r="H126" s="172">
        <f>SUM(F126)</f>
        <v>7530.9</v>
      </c>
      <c r="I126" s="188">
        <v>0</v>
      </c>
      <c r="J126" s="189"/>
      <c r="K126" s="188">
        <v>0</v>
      </c>
      <c r="L126" s="172">
        <f>SUM(F126)</f>
        <v>7530.9</v>
      </c>
      <c r="M126" s="172">
        <f>SUM(G126)</f>
        <v>0</v>
      </c>
      <c r="N126" s="172">
        <f>SUM(L126+M126)</f>
        <v>7530.9</v>
      </c>
      <c r="O126" s="178"/>
      <c r="P126" s="92"/>
    </row>
    <row r="127" spans="1:17" ht="31.5" x14ac:dyDescent="0.2">
      <c r="A127" s="42"/>
      <c r="B127" s="200" t="s">
        <v>152</v>
      </c>
      <c r="C127" s="169" t="s">
        <v>153</v>
      </c>
      <c r="D127" s="170"/>
      <c r="E127" s="171"/>
      <c r="F127" s="201">
        <v>451.3</v>
      </c>
      <c r="G127" s="172">
        <f>SUM(G130)+G129</f>
        <v>0</v>
      </c>
      <c r="H127" s="172">
        <f>SUM(F127:G127)</f>
        <v>451.3</v>
      </c>
      <c r="I127" s="188"/>
      <c r="J127" s="189"/>
      <c r="K127" s="188"/>
      <c r="L127" s="172">
        <f>SUM(F128)</f>
        <v>451.3</v>
      </c>
      <c r="M127" s="172">
        <f t="shared" ref="M127:N130" si="28">SUM(G127)</f>
        <v>0</v>
      </c>
      <c r="N127" s="172">
        <f t="shared" si="28"/>
        <v>451.3</v>
      </c>
      <c r="O127" s="178"/>
      <c r="P127" s="92"/>
    </row>
    <row r="128" spans="1:17" ht="31.5" x14ac:dyDescent="0.2">
      <c r="A128" s="42"/>
      <c r="B128" s="168" t="s">
        <v>154</v>
      </c>
      <c r="C128" s="169" t="s">
        <v>155</v>
      </c>
      <c r="D128" s="170"/>
      <c r="E128" s="171"/>
      <c r="F128" s="201">
        <v>451.3</v>
      </c>
      <c r="G128" s="172">
        <f>G129+G130</f>
        <v>0</v>
      </c>
      <c r="H128" s="172">
        <f>SUM(F128:G128)</f>
        <v>451.3</v>
      </c>
      <c r="I128" s="188"/>
      <c r="J128" s="189"/>
      <c r="K128" s="188"/>
      <c r="L128" s="201">
        <v>1070</v>
      </c>
      <c r="M128" s="172">
        <f t="shared" si="28"/>
        <v>0</v>
      </c>
      <c r="N128" s="172">
        <f>SUM(H128)</f>
        <v>451.3</v>
      </c>
      <c r="O128" s="178"/>
      <c r="P128" s="92"/>
    </row>
    <row r="129" spans="1:17" ht="31.5" x14ac:dyDescent="0.2">
      <c r="A129" s="42"/>
      <c r="B129" s="168" t="s">
        <v>35</v>
      </c>
      <c r="C129" s="169" t="s">
        <v>155</v>
      </c>
      <c r="D129" s="170" t="s">
        <v>36</v>
      </c>
      <c r="E129" s="171"/>
      <c r="F129" s="201">
        <v>451.3</v>
      </c>
      <c r="G129" s="172"/>
      <c r="H129" s="172">
        <f>SUM(F129)+G129</f>
        <v>451.3</v>
      </c>
      <c r="I129" s="188"/>
      <c r="J129" s="189"/>
      <c r="K129" s="188"/>
      <c r="L129" s="172">
        <f>SUM(F129)</f>
        <v>451.3</v>
      </c>
      <c r="M129" s="172">
        <f>SUM(G129)</f>
        <v>0</v>
      </c>
      <c r="N129" s="172">
        <f t="shared" si="28"/>
        <v>451.3</v>
      </c>
      <c r="O129" s="178"/>
      <c r="P129" s="92"/>
    </row>
    <row r="130" spans="1:17" ht="47.25" customHeight="1" x14ac:dyDescent="0.2">
      <c r="A130" s="42"/>
      <c r="B130" s="168" t="s">
        <v>131</v>
      </c>
      <c r="C130" s="169" t="s">
        <v>155</v>
      </c>
      <c r="D130" s="170" t="s">
        <v>132</v>
      </c>
      <c r="E130" s="171"/>
      <c r="F130" s="172">
        <v>0</v>
      </c>
      <c r="G130" s="172"/>
      <c r="H130" s="172">
        <f>SUM(F130)+G130</f>
        <v>0</v>
      </c>
      <c r="I130" s="188"/>
      <c r="J130" s="189"/>
      <c r="K130" s="188"/>
      <c r="L130" s="172">
        <f>SUM(F130)</f>
        <v>0</v>
      </c>
      <c r="M130" s="172">
        <f t="shared" si="28"/>
        <v>0</v>
      </c>
      <c r="N130" s="172">
        <f t="shared" si="28"/>
        <v>0</v>
      </c>
      <c r="O130" s="178"/>
      <c r="P130" s="92"/>
    </row>
    <row r="131" spans="1:17" ht="18.75" hidden="1" x14ac:dyDescent="0.2">
      <c r="A131" s="42"/>
      <c r="B131" s="168"/>
      <c r="C131" s="169"/>
      <c r="D131" s="170"/>
      <c r="E131" s="171"/>
      <c r="F131" s="172"/>
      <c r="G131" s="172"/>
      <c r="H131" s="172"/>
      <c r="I131" s="188"/>
      <c r="J131" s="189"/>
      <c r="K131" s="188"/>
      <c r="L131" s="172"/>
      <c r="M131" s="172">
        <f t="shared" ref="M131:N134" si="29">SUM(G131)</f>
        <v>0</v>
      </c>
      <c r="N131" s="172">
        <f t="shared" si="29"/>
        <v>0</v>
      </c>
      <c r="O131" s="178"/>
      <c r="P131" s="92"/>
    </row>
    <row r="132" spans="1:17" ht="18.75" hidden="1" x14ac:dyDescent="0.2">
      <c r="A132" s="42"/>
      <c r="B132" s="168"/>
      <c r="C132" s="169"/>
      <c r="D132" s="170"/>
      <c r="E132" s="171"/>
      <c r="F132" s="172"/>
      <c r="G132" s="172"/>
      <c r="H132" s="172"/>
      <c r="I132" s="188"/>
      <c r="J132" s="189"/>
      <c r="K132" s="188"/>
      <c r="L132" s="172"/>
      <c r="M132" s="172">
        <f t="shared" si="29"/>
        <v>0</v>
      </c>
      <c r="N132" s="172">
        <f t="shared" si="29"/>
        <v>0</v>
      </c>
      <c r="O132" s="178"/>
      <c r="P132" s="92"/>
    </row>
    <row r="133" spans="1:17" ht="18.75" hidden="1" x14ac:dyDescent="0.2">
      <c r="A133" s="42"/>
      <c r="B133" s="168"/>
      <c r="C133" s="169"/>
      <c r="D133" s="170"/>
      <c r="E133" s="171"/>
      <c r="F133" s="172"/>
      <c r="G133" s="172"/>
      <c r="H133" s="172"/>
      <c r="I133" s="188"/>
      <c r="J133" s="189"/>
      <c r="K133" s="188"/>
      <c r="L133" s="172"/>
      <c r="M133" s="172">
        <f t="shared" si="29"/>
        <v>0</v>
      </c>
      <c r="N133" s="172">
        <f t="shared" si="29"/>
        <v>0</v>
      </c>
      <c r="O133" s="178"/>
      <c r="P133" s="92"/>
    </row>
    <row r="134" spans="1:17" ht="31.5" hidden="1" x14ac:dyDescent="0.2">
      <c r="A134" s="42"/>
      <c r="B134" s="168" t="s">
        <v>131</v>
      </c>
      <c r="C134" s="169"/>
      <c r="D134" s="170" t="s">
        <v>132</v>
      </c>
      <c r="E134" s="171"/>
      <c r="F134" s="172"/>
      <c r="G134" s="172"/>
      <c r="H134" s="172">
        <f>SUM(G134)</f>
        <v>0</v>
      </c>
      <c r="I134" s="188"/>
      <c r="J134" s="189"/>
      <c r="K134" s="188"/>
      <c r="L134" s="172"/>
      <c r="M134" s="172">
        <f t="shared" si="29"/>
        <v>0</v>
      </c>
      <c r="N134" s="172">
        <f t="shared" si="29"/>
        <v>0</v>
      </c>
      <c r="O134" s="178"/>
      <c r="P134" s="92"/>
    </row>
    <row r="135" spans="1:17" ht="31.5" x14ac:dyDescent="0.2">
      <c r="A135" s="19" t="s">
        <v>156</v>
      </c>
      <c r="B135" s="182" t="s">
        <v>157</v>
      </c>
      <c r="C135" s="183" t="s">
        <v>158</v>
      </c>
      <c r="D135" s="184" t="s">
        <v>26</v>
      </c>
      <c r="E135" s="185"/>
      <c r="F135" s="186">
        <f t="shared" ref="F135:N135" si="30">F136+F143+F154+F186+F192</f>
        <v>215844.90000000002</v>
      </c>
      <c r="G135" s="186">
        <f>G136+G143+G154+G186+G192</f>
        <v>-1229.7999999999997</v>
      </c>
      <c r="H135" s="186">
        <f t="shared" si="30"/>
        <v>214615.10000000003</v>
      </c>
      <c r="I135" s="187">
        <f t="shared" si="30"/>
        <v>2317310.9000000004</v>
      </c>
      <c r="J135" s="186">
        <f t="shared" si="30"/>
        <v>-726371.7</v>
      </c>
      <c r="K135" s="187">
        <f t="shared" si="30"/>
        <v>1590939.2</v>
      </c>
      <c r="L135" s="186">
        <f t="shared" si="30"/>
        <v>2533155.8000000003</v>
      </c>
      <c r="M135" s="186">
        <f t="shared" si="30"/>
        <v>-727601.5</v>
      </c>
      <c r="N135" s="186">
        <f t="shared" si="30"/>
        <v>1805554.3000000003</v>
      </c>
      <c r="O135" s="178"/>
      <c r="P135" s="92"/>
      <c r="Q135" s="25"/>
    </row>
    <row r="136" spans="1:17" ht="20.45" customHeight="1" x14ac:dyDescent="0.2">
      <c r="A136" s="49"/>
      <c r="B136" s="190" t="s">
        <v>159</v>
      </c>
      <c r="C136" s="191" t="s">
        <v>160</v>
      </c>
      <c r="D136" s="192" t="s">
        <v>26</v>
      </c>
      <c r="E136" s="193"/>
      <c r="F136" s="194">
        <f t="shared" ref="F136:N138" si="31">F137</f>
        <v>1884.2</v>
      </c>
      <c r="G136" s="194">
        <f>G137+G140</f>
        <v>0</v>
      </c>
      <c r="H136" s="194">
        <f>H137+H140</f>
        <v>1884.2</v>
      </c>
      <c r="I136" s="195">
        <f t="shared" si="31"/>
        <v>3074.2</v>
      </c>
      <c r="J136" s="196"/>
      <c r="K136" s="195">
        <f t="shared" si="31"/>
        <v>3074.2</v>
      </c>
      <c r="L136" s="194">
        <f>L137</f>
        <v>4958.3999999999996</v>
      </c>
      <c r="M136" s="194">
        <f>SUM(G136)</f>
        <v>0</v>
      </c>
      <c r="N136" s="194">
        <f>SUM(N137+N140)</f>
        <v>4958.3999999999996</v>
      </c>
      <c r="O136" s="178"/>
      <c r="P136" s="92"/>
    </row>
    <row r="137" spans="1:17" ht="31.5" x14ac:dyDescent="0.2">
      <c r="A137" s="42"/>
      <c r="B137" s="168" t="s">
        <v>161</v>
      </c>
      <c r="C137" s="169" t="s">
        <v>162</v>
      </c>
      <c r="D137" s="170" t="s">
        <v>26</v>
      </c>
      <c r="E137" s="171"/>
      <c r="F137" s="172">
        <f t="shared" si="31"/>
        <v>1884.2</v>
      </c>
      <c r="G137" s="172">
        <f t="shared" si="31"/>
        <v>0</v>
      </c>
      <c r="H137" s="172">
        <f t="shared" si="31"/>
        <v>1884.2</v>
      </c>
      <c r="I137" s="188">
        <f t="shared" si="31"/>
        <v>3074.2</v>
      </c>
      <c r="J137" s="189"/>
      <c r="K137" s="188">
        <f t="shared" si="31"/>
        <v>3074.2</v>
      </c>
      <c r="L137" s="172">
        <f t="shared" si="31"/>
        <v>4958.3999999999996</v>
      </c>
      <c r="M137" s="172">
        <f t="shared" si="31"/>
        <v>0</v>
      </c>
      <c r="N137" s="172">
        <f t="shared" si="31"/>
        <v>4958.3999999999996</v>
      </c>
      <c r="O137" s="178"/>
      <c r="P137" s="92"/>
    </row>
    <row r="138" spans="1:17" ht="32.25" customHeight="1" x14ac:dyDescent="0.2">
      <c r="A138" s="42"/>
      <c r="B138" s="168" t="s">
        <v>163</v>
      </c>
      <c r="C138" s="169" t="s">
        <v>164</v>
      </c>
      <c r="D138" s="170" t="s">
        <v>26</v>
      </c>
      <c r="E138" s="171"/>
      <c r="F138" s="172">
        <f t="shared" si="31"/>
        <v>1884.2</v>
      </c>
      <c r="G138" s="172">
        <f t="shared" si="31"/>
        <v>0</v>
      </c>
      <c r="H138" s="172">
        <f t="shared" si="31"/>
        <v>1884.2</v>
      </c>
      <c r="I138" s="188">
        <f t="shared" si="31"/>
        <v>3074.2</v>
      </c>
      <c r="J138" s="189"/>
      <c r="K138" s="188">
        <f t="shared" si="31"/>
        <v>3074.2</v>
      </c>
      <c r="L138" s="172">
        <f t="shared" si="31"/>
        <v>4958.3999999999996</v>
      </c>
      <c r="M138" s="172">
        <f t="shared" si="31"/>
        <v>0</v>
      </c>
      <c r="N138" s="172">
        <f t="shared" si="31"/>
        <v>4958.3999999999996</v>
      </c>
      <c r="O138" s="178"/>
      <c r="P138" s="92"/>
    </row>
    <row r="139" spans="1:17" ht="18.75" x14ac:dyDescent="0.2">
      <c r="A139" s="42"/>
      <c r="B139" s="168" t="s">
        <v>54</v>
      </c>
      <c r="C139" s="169" t="s">
        <v>164</v>
      </c>
      <c r="D139" s="170" t="s">
        <v>55</v>
      </c>
      <c r="E139" s="171"/>
      <c r="F139" s="172">
        <v>1884.2</v>
      </c>
      <c r="G139" s="172"/>
      <c r="H139" s="172">
        <f>SUM(F139+G139)</f>
        <v>1884.2</v>
      </c>
      <c r="I139" s="188">
        <v>3074.2</v>
      </c>
      <c r="J139" s="189"/>
      <c r="K139" s="188">
        <v>3074.2</v>
      </c>
      <c r="L139" s="172">
        <f>SUM(F139+I139)</f>
        <v>4958.3999999999996</v>
      </c>
      <c r="M139" s="172">
        <f>SUM(G139)</f>
        <v>0</v>
      </c>
      <c r="N139" s="172">
        <f>SUM(H139+K139)</f>
        <v>4958.3999999999996</v>
      </c>
      <c r="O139" s="178"/>
      <c r="P139" s="92"/>
    </row>
    <row r="140" spans="1:17" ht="0.75" customHeight="1" x14ac:dyDescent="0.2">
      <c r="A140" s="42"/>
      <c r="B140" s="168" t="s">
        <v>490</v>
      </c>
      <c r="C140" s="169" t="s">
        <v>489</v>
      </c>
      <c r="D140" s="170"/>
      <c r="E140" s="171"/>
      <c r="F140" s="172"/>
      <c r="G140" s="172">
        <f>SUM(G142)</f>
        <v>0</v>
      </c>
      <c r="H140" s="172">
        <f>SUM(H142)</f>
        <v>0</v>
      </c>
      <c r="I140" s="188"/>
      <c r="J140" s="189"/>
      <c r="K140" s="188"/>
      <c r="L140" s="172"/>
      <c r="M140" s="172">
        <f t="shared" ref="M140:N142" si="32">SUM(G140)</f>
        <v>0</v>
      </c>
      <c r="N140" s="172">
        <f t="shared" si="32"/>
        <v>0</v>
      </c>
      <c r="O140" s="178"/>
      <c r="P140" s="92"/>
    </row>
    <row r="141" spans="1:17" ht="47.25" hidden="1" x14ac:dyDescent="0.2">
      <c r="A141" s="42"/>
      <c r="B141" s="168" t="s">
        <v>492</v>
      </c>
      <c r="C141" s="169" t="s">
        <v>491</v>
      </c>
      <c r="D141" s="170"/>
      <c r="E141" s="171"/>
      <c r="F141" s="172"/>
      <c r="G141" s="172">
        <f>SUM(G142)</f>
        <v>0</v>
      </c>
      <c r="H141" s="172">
        <f>SUM(H142)</f>
        <v>0</v>
      </c>
      <c r="I141" s="188"/>
      <c r="J141" s="189"/>
      <c r="K141" s="188"/>
      <c r="L141" s="172"/>
      <c r="M141" s="172">
        <f t="shared" si="32"/>
        <v>0</v>
      </c>
      <c r="N141" s="172">
        <f t="shared" si="32"/>
        <v>0</v>
      </c>
      <c r="O141" s="178"/>
      <c r="P141" s="92"/>
    </row>
    <row r="142" spans="1:17" ht="31.5" hidden="1" x14ac:dyDescent="0.2">
      <c r="A142" s="42"/>
      <c r="B142" s="168" t="s">
        <v>131</v>
      </c>
      <c r="C142" s="169" t="s">
        <v>491</v>
      </c>
      <c r="D142" s="170" t="s">
        <v>132</v>
      </c>
      <c r="E142" s="171"/>
      <c r="F142" s="172"/>
      <c r="G142" s="172"/>
      <c r="H142" s="172">
        <f>SUM(G142)</f>
        <v>0</v>
      </c>
      <c r="I142" s="188"/>
      <c r="J142" s="189"/>
      <c r="K142" s="188"/>
      <c r="L142" s="172"/>
      <c r="M142" s="172">
        <f t="shared" si="32"/>
        <v>0</v>
      </c>
      <c r="N142" s="172">
        <f t="shared" si="32"/>
        <v>0</v>
      </c>
      <c r="O142" s="178"/>
      <c r="P142" s="92"/>
    </row>
    <row r="143" spans="1:17" ht="31.5" x14ac:dyDescent="0.2">
      <c r="A143" s="49"/>
      <c r="B143" s="190" t="s">
        <v>165</v>
      </c>
      <c r="C143" s="191" t="s">
        <v>166</v>
      </c>
      <c r="D143" s="192" t="s">
        <v>26</v>
      </c>
      <c r="E143" s="193"/>
      <c r="F143" s="194">
        <f t="shared" ref="F143:N143" si="33">F144</f>
        <v>12621</v>
      </c>
      <c r="G143" s="194">
        <f t="shared" si="33"/>
        <v>-3650</v>
      </c>
      <c r="H143" s="194">
        <f t="shared" si="33"/>
        <v>8971</v>
      </c>
      <c r="I143" s="195">
        <f t="shared" si="33"/>
        <v>2303079.5</v>
      </c>
      <c r="J143" s="194">
        <f t="shared" si="33"/>
        <v>-726371.7</v>
      </c>
      <c r="K143" s="195">
        <f t="shared" si="33"/>
        <v>1576707.8</v>
      </c>
      <c r="L143" s="194">
        <f t="shared" si="33"/>
        <v>2315700.5</v>
      </c>
      <c r="M143" s="194">
        <f t="shared" si="33"/>
        <v>-730021.7</v>
      </c>
      <c r="N143" s="194">
        <f t="shared" si="33"/>
        <v>1585678.8000000003</v>
      </c>
      <c r="O143" s="178"/>
      <c r="P143" s="92"/>
      <c r="Q143" s="55"/>
    </row>
    <row r="144" spans="1:17" ht="39.6" customHeight="1" x14ac:dyDescent="0.2">
      <c r="A144" s="42"/>
      <c r="B144" s="168" t="s">
        <v>167</v>
      </c>
      <c r="C144" s="169" t="s">
        <v>168</v>
      </c>
      <c r="D144" s="170" t="s">
        <v>26</v>
      </c>
      <c r="E144" s="171"/>
      <c r="F144" s="172">
        <f>F145+F148+F150+F152</f>
        <v>12621</v>
      </c>
      <c r="G144" s="172">
        <f>SUM(G145+G152)+G148</f>
        <v>-3650</v>
      </c>
      <c r="H144" s="172">
        <f>H145+H148+H150+H152</f>
        <v>8971</v>
      </c>
      <c r="I144" s="188">
        <f t="shared" ref="I144:N144" si="34">I145+I148+I150+I152</f>
        <v>2303079.5</v>
      </c>
      <c r="J144" s="172">
        <f>SUM(J148+J152)</f>
        <v>-726371.7</v>
      </c>
      <c r="K144" s="188">
        <f t="shared" si="34"/>
        <v>1576707.8</v>
      </c>
      <c r="L144" s="172">
        <f t="shared" si="34"/>
        <v>2315700.5</v>
      </c>
      <c r="M144" s="172">
        <f>SUM(G144+J144)</f>
        <v>-730021.7</v>
      </c>
      <c r="N144" s="172">
        <f t="shared" si="34"/>
        <v>1585678.8000000003</v>
      </c>
      <c r="O144" s="178"/>
      <c r="P144" s="92"/>
      <c r="Q144" s="48"/>
    </row>
    <row r="145" spans="1:17" ht="18.75" x14ac:dyDescent="0.2">
      <c r="A145" s="42"/>
      <c r="B145" s="168" t="s">
        <v>169</v>
      </c>
      <c r="C145" s="169" t="s">
        <v>170</v>
      </c>
      <c r="D145" s="170" t="s">
        <v>26</v>
      </c>
      <c r="E145" s="171"/>
      <c r="F145" s="172">
        <f>F146+F147</f>
        <v>30.8</v>
      </c>
      <c r="G145" s="172">
        <f>G146+G147</f>
        <v>0</v>
      </c>
      <c r="H145" s="172">
        <f>H146+H147</f>
        <v>30.8</v>
      </c>
      <c r="I145" s="188">
        <f>I146</f>
        <v>1529.5</v>
      </c>
      <c r="J145" s="172">
        <f>J146</f>
        <v>0</v>
      </c>
      <c r="K145" s="188">
        <f>K146</f>
        <v>1529.5</v>
      </c>
      <c r="L145" s="172">
        <f>L146+F145</f>
        <v>1560.3</v>
      </c>
      <c r="M145" s="172">
        <f>M146+M147</f>
        <v>0</v>
      </c>
      <c r="N145" s="172">
        <f>N146+N147</f>
        <v>1560.3</v>
      </c>
      <c r="O145" s="178"/>
      <c r="P145" s="92"/>
    </row>
    <row r="146" spans="1:17" ht="31.5" x14ac:dyDescent="0.2">
      <c r="A146" s="42"/>
      <c r="B146" s="168" t="s">
        <v>35</v>
      </c>
      <c r="C146" s="169" t="s">
        <v>170</v>
      </c>
      <c r="D146" s="170" t="s">
        <v>36</v>
      </c>
      <c r="E146" s="171"/>
      <c r="F146" s="172">
        <v>0</v>
      </c>
      <c r="G146" s="172"/>
      <c r="H146" s="172">
        <f>SUM(F146+G146)</f>
        <v>0</v>
      </c>
      <c r="I146" s="188">
        <v>1529.5</v>
      </c>
      <c r="J146" s="189"/>
      <c r="K146" s="189">
        <f>SUM(I146)</f>
        <v>1529.5</v>
      </c>
      <c r="L146" s="172">
        <f>SUM(I146)</f>
        <v>1529.5</v>
      </c>
      <c r="M146" s="172">
        <f>SUM(G146+J146)</f>
        <v>0</v>
      </c>
      <c r="N146" s="172">
        <f>SUM(K146)</f>
        <v>1529.5</v>
      </c>
      <c r="O146" s="178"/>
      <c r="P146" s="92"/>
    </row>
    <row r="147" spans="1:17" ht="31.5" x14ac:dyDescent="0.2">
      <c r="A147" s="42"/>
      <c r="B147" s="168" t="s">
        <v>131</v>
      </c>
      <c r="C147" s="169" t="s">
        <v>170</v>
      </c>
      <c r="D147" s="170" t="s">
        <v>132</v>
      </c>
      <c r="E147" s="171"/>
      <c r="F147" s="172">
        <v>30.8</v>
      </c>
      <c r="G147" s="172"/>
      <c r="H147" s="172">
        <f>SUM(F147)+G147</f>
        <v>30.8</v>
      </c>
      <c r="I147" s="188"/>
      <c r="J147" s="189"/>
      <c r="K147" s="189"/>
      <c r="L147" s="172">
        <f>SUM(F147)</f>
        <v>30.8</v>
      </c>
      <c r="M147" s="172">
        <f>SUM(G147)</f>
        <v>0</v>
      </c>
      <c r="N147" s="172">
        <f>SUM(H147)</f>
        <v>30.8</v>
      </c>
      <c r="O147" s="178"/>
      <c r="P147" s="92"/>
    </row>
    <row r="148" spans="1:17" ht="20.45" customHeight="1" x14ac:dyDescent="0.2">
      <c r="A148" s="42"/>
      <c r="B148" s="168" t="s">
        <v>171</v>
      </c>
      <c r="C148" s="169" t="s">
        <v>172</v>
      </c>
      <c r="D148" s="170" t="s">
        <v>26</v>
      </c>
      <c r="E148" s="171"/>
      <c r="F148" s="172">
        <f t="shared" ref="F148:N148" si="35">F149</f>
        <v>11457.5</v>
      </c>
      <c r="G148" s="172">
        <f t="shared" si="35"/>
        <v>-3650</v>
      </c>
      <c r="H148" s="172">
        <f t="shared" si="35"/>
        <v>7807.5</v>
      </c>
      <c r="I148" s="188">
        <f t="shared" si="35"/>
        <v>2280029.1</v>
      </c>
      <c r="J148" s="189">
        <f t="shared" si="35"/>
        <v>-726371.7</v>
      </c>
      <c r="K148" s="188">
        <f t="shared" si="35"/>
        <v>1553657.4000000001</v>
      </c>
      <c r="L148" s="172">
        <f t="shared" si="35"/>
        <v>2291486.6</v>
      </c>
      <c r="M148" s="172">
        <f t="shared" si="35"/>
        <v>-730021.7</v>
      </c>
      <c r="N148" s="172">
        <f t="shared" si="35"/>
        <v>1561464.9000000001</v>
      </c>
      <c r="O148" s="178"/>
      <c r="P148" s="92"/>
    </row>
    <row r="149" spans="1:17" ht="31.5" x14ac:dyDescent="0.2">
      <c r="A149" s="42"/>
      <c r="B149" s="168" t="s">
        <v>131</v>
      </c>
      <c r="C149" s="169" t="s">
        <v>172</v>
      </c>
      <c r="D149" s="170" t="s">
        <v>132</v>
      </c>
      <c r="E149" s="171"/>
      <c r="F149" s="172">
        <v>11457.5</v>
      </c>
      <c r="G149" s="172">
        <v>-3650</v>
      </c>
      <c r="H149" s="172">
        <f>11457.5+G149</f>
        <v>7807.5</v>
      </c>
      <c r="I149" s="188">
        <v>2280029.1</v>
      </c>
      <c r="J149" s="189">
        <v>-726371.7</v>
      </c>
      <c r="K149" s="188">
        <f>2280029.1+J149</f>
        <v>1553657.4000000001</v>
      </c>
      <c r="L149" s="172">
        <f>11457.5+I149</f>
        <v>2291486.6</v>
      </c>
      <c r="M149" s="172">
        <f>SUM(G149)+J149</f>
        <v>-730021.7</v>
      </c>
      <c r="N149" s="172">
        <f>SUM(H149+K149)</f>
        <v>1561464.9000000001</v>
      </c>
      <c r="O149" s="178"/>
      <c r="P149" s="92"/>
    </row>
    <row r="150" spans="1:17" ht="18.75" x14ac:dyDescent="0.2">
      <c r="A150" s="42"/>
      <c r="B150" s="168" t="s">
        <v>173</v>
      </c>
      <c r="C150" s="169" t="s">
        <v>174</v>
      </c>
      <c r="D150" s="170" t="s">
        <v>26</v>
      </c>
      <c r="E150" s="171"/>
      <c r="F150" s="172">
        <f>F151</f>
        <v>386.1</v>
      </c>
      <c r="G150" s="172">
        <f>G151</f>
        <v>0</v>
      </c>
      <c r="H150" s="172">
        <f>H151</f>
        <v>386.1</v>
      </c>
      <c r="I150" s="188">
        <f>I151</f>
        <v>7335.5</v>
      </c>
      <c r="J150" s="189"/>
      <c r="K150" s="188">
        <f>K151</f>
        <v>7335.5</v>
      </c>
      <c r="L150" s="172">
        <f>L151</f>
        <v>7721.6</v>
      </c>
      <c r="M150" s="172">
        <f>M151</f>
        <v>0</v>
      </c>
      <c r="N150" s="172">
        <f>N151</f>
        <v>7721.6</v>
      </c>
      <c r="O150" s="178"/>
      <c r="P150" s="92"/>
    </row>
    <row r="151" spans="1:17" ht="31.5" x14ac:dyDescent="0.2">
      <c r="A151" s="42"/>
      <c r="B151" s="168" t="s">
        <v>131</v>
      </c>
      <c r="C151" s="169" t="s">
        <v>174</v>
      </c>
      <c r="D151" s="170" t="s">
        <v>132</v>
      </c>
      <c r="E151" s="171"/>
      <c r="F151" s="172">
        <v>386.1</v>
      </c>
      <c r="G151" s="172"/>
      <c r="H151" s="172">
        <f>SUM(F151)</f>
        <v>386.1</v>
      </c>
      <c r="I151" s="188">
        <f>14200-6864.5</f>
        <v>7335.5</v>
      </c>
      <c r="J151" s="189"/>
      <c r="K151" s="188">
        <f>14200-6864.5</f>
        <v>7335.5</v>
      </c>
      <c r="L151" s="188">
        <f>SUM(F151+I151)</f>
        <v>7721.6</v>
      </c>
      <c r="M151" s="172">
        <f>SUM(G151)</f>
        <v>0</v>
      </c>
      <c r="N151" s="188">
        <f>SUM(H151+K151)</f>
        <v>7721.6</v>
      </c>
      <c r="O151" s="178"/>
      <c r="P151" s="92"/>
    </row>
    <row r="152" spans="1:17" ht="18.75" x14ac:dyDescent="0.2">
      <c r="A152" s="42"/>
      <c r="B152" s="168" t="s">
        <v>175</v>
      </c>
      <c r="C152" s="169" t="s">
        <v>176</v>
      </c>
      <c r="D152" s="170" t="s">
        <v>26</v>
      </c>
      <c r="E152" s="171"/>
      <c r="F152" s="172">
        <f>F153</f>
        <v>746.6</v>
      </c>
      <c r="G152" s="172">
        <f>G153</f>
        <v>0</v>
      </c>
      <c r="H152" s="172">
        <f>H153</f>
        <v>746.6</v>
      </c>
      <c r="I152" s="188">
        <f>I153</f>
        <v>14185.4</v>
      </c>
      <c r="J152" s="189"/>
      <c r="K152" s="188">
        <f>K153</f>
        <v>14185.4</v>
      </c>
      <c r="L152" s="172">
        <f>L153</f>
        <v>14932</v>
      </c>
      <c r="M152" s="172">
        <f>M153</f>
        <v>0</v>
      </c>
      <c r="N152" s="172">
        <f>N153</f>
        <v>14932</v>
      </c>
      <c r="O152" s="178"/>
      <c r="P152" s="92"/>
    </row>
    <row r="153" spans="1:17" ht="31.5" x14ac:dyDescent="0.2">
      <c r="A153" s="42"/>
      <c r="B153" s="168" t="s">
        <v>131</v>
      </c>
      <c r="C153" s="169" t="s">
        <v>176</v>
      </c>
      <c r="D153" s="170" t="s">
        <v>132</v>
      </c>
      <c r="E153" s="171"/>
      <c r="F153" s="172">
        <v>746.6</v>
      </c>
      <c r="G153" s="172"/>
      <c r="H153" s="172">
        <f>663.2+83.4</f>
        <v>746.6</v>
      </c>
      <c r="I153" s="188">
        <v>14185.4</v>
      </c>
      <c r="J153" s="189"/>
      <c r="K153" s="188">
        <f>SUM(I153)</f>
        <v>14185.4</v>
      </c>
      <c r="L153" s="172">
        <f>SUM(F153+I153)</f>
        <v>14932</v>
      </c>
      <c r="M153" s="172">
        <f>SUM(J153)+G153</f>
        <v>0</v>
      </c>
      <c r="N153" s="172">
        <f>SUM(H153+K153)</f>
        <v>14932</v>
      </c>
      <c r="O153" s="178"/>
      <c r="P153" s="92"/>
    </row>
    <row r="154" spans="1:17" ht="18.75" x14ac:dyDescent="0.2">
      <c r="A154" s="49"/>
      <c r="B154" s="190" t="s">
        <v>177</v>
      </c>
      <c r="C154" s="191" t="s">
        <v>178</v>
      </c>
      <c r="D154" s="192" t="s">
        <v>26</v>
      </c>
      <c r="E154" s="193"/>
      <c r="F154" s="194">
        <f t="shared" ref="F154:N154" si="36">F155</f>
        <v>54426.9</v>
      </c>
      <c r="G154" s="194">
        <f t="shared" si="36"/>
        <v>2420.2000000000003</v>
      </c>
      <c r="H154" s="194">
        <f t="shared" si="36"/>
        <v>56847.100000000006</v>
      </c>
      <c r="I154" s="195">
        <f t="shared" si="36"/>
        <v>11157.199999999999</v>
      </c>
      <c r="J154" s="195">
        <f t="shared" si="36"/>
        <v>0</v>
      </c>
      <c r="K154" s="195">
        <f t="shared" si="36"/>
        <v>11157.199999999999</v>
      </c>
      <c r="L154" s="194">
        <f t="shared" si="36"/>
        <v>65584.100000000006</v>
      </c>
      <c r="M154" s="194">
        <f t="shared" si="36"/>
        <v>2420.2000000000003</v>
      </c>
      <c r="N154" s="194">
        <f t="shared" si="36"/>
        <v>68004.3</v>
      </c>
      <c r="O154" s="178"/>
      <c r="P154" s="92"/>
      <c r="Q154" s="55"/>
    </row>
    <row r="155" spans="1:17" ht="34.9" customHeight="1" x14ac:dyDescent="0.2">
      <c r="A155" s="42"/>
      <c r="B155" s="168" t="s">
        <v>179</v>
      </c>
      <c r="C155" s="169" t="s">
        <v>180</v>
      </c>
      <c r="D155" s="170" t="s">
        <v>26</v>
      </c>
      <c r="E155" s="171"/>
      <c r="F155" s="172">
        <f>F156+F158+F160+F162+F168+F170+F164+F180+F176</f>
        <v>54426.9</v>
      </c>
      <c r="G155" s="172">
        <f>G156+G158+G160+G162+G164+G168+G170+G176+G178+G180</f>
        <v>2420.2000000000003</v>
      </c>
      <c r="H155" s="172">
        <f>H156+H158+H160+H162+H168+H170+H164+H180+H176</f>
        <v>56847.100000000006</v>
      </c>
      <c r="I155" s="188">
        <f>SUM(I158+I166+I178+I180)+I176</f>
        <v>11157.199999999999</v>
      </c>
      <c r="J155" s="189">
        <f>SUM(J180)+J176+J178+J166</f>
        <v>0</v>
      </c>
      <c r="K155" s="188">
        <f>SUM(K158+K166+K178+K180)+K176</f>
        <v>11157.199999999999</v>
      </c>
      <c r="L155" s="172">
        <f>SUM(L156+L158+L160+L162+L164+L166+L168+L170+L176+L178+L180)</f>
        <v>65584.100000000006</v>
      </c>
      <c r="M155" s="172">
        <f>M156+M158+M160+M162+M164+M168+M170+M176+M178+M180</f>
        <v>2420.2000000000003</v>
      </c>
      <c r="N155" s="172">
        <f>SUM(N156+N158+N160+N162+N164+N166+N168+N170+N176+N178+N180)</f>
        <v>68004.3</v>
      </c>
      <c r="O155" s="178"/>
      <c r="P155" s="92"/>
      <c r="Q155" s="48"/>
    </row>
    <row r="156" spans="1:17" ht="18.75" x14ac:dyDescent="0.2">
      <c r="A156" s="42"/>
      <c r="B156" s="168" t="s">
        <v>181</v>
      </c>
      <c r="C156" s="169" t="s">
        <v>182</v>
      </c>
      <c r="D156" s="170" t="s">
        <v>26</v>
      </c>
      <c r="E156" s="171"/>
      <c r="F156" s="172">
        <f>F157</f>
        <v>22389.9</v>
      </c>
      <c r="G156" s="172">
        <f>G157</f>
        <v>210.4</v>
      </c>
      <c r="H156" s="172">
        <f>H157</f>
        <v>22600.300000000003</v>
      </c>
      <c r="I156" s="188">
        <f>I157</f>
        <v>0</v>
      </c>
      <c r="J156" s="189"/>
      <c r="K156" s="188">
        <f>K157</f>
        <v>0</v>
      </c>
      <c r="L156" s="172">
        <f>L157</f>
        <v>22389.9</v>
      </c>
      <c r="M156" s="172">
        <f>M157</f>
        <v>210.4</v>
      </c>
      <c r="N156" s="172">
        <f>N157</f>
        <v>22600.300000000003</v>
      </c>
      <c r="O156" s="178"/>
      <c r="P156" s="92"/>
    </row>
    <row r="157" spans="1:17" ht="31.5" x14ac:dyDescent="0.2">
      <c r="A157" s="42"/>
      <c r="B157" s="168" t="s">
        <v>35</v>
      </c>
      <c r="C157" s="169" t="s">
        <v>182</v>
      </c>
      <c r="D157" s="170" t="s">
        <v>36</v>
      </c>
      <c r="E157" s="171"/>
      <c r="F157" s="172">
        <v>22389.9</v>
      </c>
      <c r="G157" s="172">
        <v>210.4</v>
      </c>
      <c r="H157" s="172">
        <f>SUM(F157)+G157</f>
        <v>22600.300000000003</v>
      </c>
      <c r="I157" s="188">
        <v>0</v>
      </c>
      <c r="J157" s="189"/>
      <c r="K157" s="188">
        <v>0</v>
      </c>
      <c r="L157" s="172">
        <f>SUM(F157)</f>
        <v>22389.9</v>
      </c>
      <c r="M157" s="172">
        <f>SUM(G157)</f>
        <v>210.4</v>
      </c>
      <c r="N157" s="172">
        <f>SUM(H157)</f>
        <v>22600.300000000003</v>
      </c>
      <c r="O157" s="178"/>
      <c r="P157" s="92"/>
    </row>
    <row r="158" spans="1:17" ht="18.75" x14ac:dyDescent="0.2">
      <c r="A158" s="42"/>
      <c r="B158" s="168" t="s">
        <v>183</v>
      </c>
      <c r="C158" s="169" t="s">
        <v>184</v>
      </c>
      <c r="D158" s="170" t="s">
        <v>26</v>
      </c>
      <c r="E158" s="171"/>
      <c r="F158" s="172">
        <f t="shared" ref="F158:N158" si="37">F159</f>
        <v>13950.8</v>
      </c>
      <c r="G158" s="172">
        <f t="shared" si="37"/>
        <v>0</v>
      </c>
      <c r="H158" s="172">
        <f t="shared" si="37"/>
        <v>13950.8</v>
      </c>
      <c r="I158" s="188">
        <f t="shared" si="37"/>
        <v>75</v>
      </c>
      <c r="J158" s="172">
        <f t="shared" si="37"/>
        <v>0</v>
      </c>
      <c r="K158" s="188">
        <f t="shared" si="37"/>
        <v>75</v>
      </c>
      <c r="L158" s="172">
        <f t="shared" si="37"/>
        <v>14025.8</v>
      </c>
      <c r="M158" s="172">
        <f t="shared" si="37"/>
        <v>0</v>
      </c>
      <c r="N158" s="172">
        <f t="shared" si="37"/>
        <v>14025.8</v>
      </c>
      <c r="O158" s="178"/>
      <c r="P158" s="92"/>
    </row>
    <row r="159" spans="1:17" ht="31.5" x14ac:dyDescent="0.2">
      <c r="A159" s="42"/>
      <c r="B159" s="168" t="s">
        <v>35</v>
      </c>
      <c r="C159" s="169" t="s">
        <v>184</v>
      </c>
      <c r="D159" s="170" t="s">
        <v>36</v>
      </c>
      <c r="E159" s="171"/>
      <c r="F159" s="172">
        <v>13950.8</v>
      </c>
      <c r="G159" s="172"/>
      <c r="H159" s="172">
        <f>SUM(F159)+G159</f>
        <v>13950.8</v>
      </c>
      <c r="I159" s="188">
        <v>75</v>
      </c>
      <c r="J159" s="189"/>
      <c r="K159" s="188">
        <f>SUM(I159)</f>
        <v>75</v>
      </c>
      <c r="L159" s="172">
        <f>SUM(F159+I159)</f>
        <v>14025.8</v>
      </c>
      <c r="M159" s="172">
        <f>SUM(J159)+G159</f>
        <v>0</v>
      </c>
      <c r="N159" s="172">
        <f>SUM(H159+K159)</f>
        <v>14025.8</v>
      </c>
      <c r="O159" s="178"/>
      <c r="P159" s="92"/>
    </row>
    <row r="160" spans="1:17" ht="18.75" x14ac:dyDescent="0.2">
      <c r="A160" s="42"/>
      <c r="B160" s="168" t="s">
        <v>185</v>
      </c>
      <c r="C160" s="169" t="s">
        <v>186</v>
      </c>
      <c r="D160" s="170" t="s">
        <v>26</v>
      </c>
      <c r="E160" s="171"/>
      <c r="F160" s="172">
        <f>F161</f>
        <v>2772.9</v>
      </c>
      <c r="G160" s="172">
        <f>G161</f>
        <v>0</v>
      </c>
      <c r="H160" s="172">
        <f>H161</f>
        <v>2772.9</v>
      </c>
      <c r="I160" s="188">
        <f>I161</f>
        <v>0</v>
      </c>
      <c r="J160" s="189"/>
      <c r="K160" s="188">
        <f>K161</f>
        <v>0</v>
      </c>
      <c r="L160" s="172">
        <f>L161</f>
        <v>2772.9</v>
      </c>
      <c r="M160" s="172">
        <f>M161</f>
        <v>0</v>
      </c>
      <c r="N160" s="172">
        <f>N161</f>
        <v>2772.9</v>
      </c>
      <c r="O160" s="178"/>
      <c r="P160" s="92"/>
    </row>
    <row r="161" spans="1:17" ht="31.5" x14ac:dyDescent="0.2">
      <c r="A161" s="42"/>
      <c r="B161" s="168" t="s">
        <v>35</v>
      </c>
      <c r="C161" s="169" t="s">
        <v>186</v>
      </c>
      <c r="D161" s="170" t="s">
        <v>36</v>
      </c>
      <c r="E161" s="171"/>
      <c r="F161" s="172">
        <v>2772.9</v>
      </c>
      <c r="G161" s="172"/>
      <c r="H161" s="172">
        <f>SUM(F161)+G161</f>
        <v>2772.9</v>
      </c>
      <c r="I161" s="188">
        <v>0</v>
      </c>
      <c r="J161" s="189"/>
      <c r="K161" s="188">
        <v>0</v>
      </c>
      <c r="L161" s="172">
        <f>SUM(F161)</f>
        <v>2772.9</v>
      </c>
      <c r="M161" s="172">
        <f>SUM(G161)</f>
        <v>0</v>
      </c>
      <c r="N161" s="172">
        <f>SUM(L161)+M161</f>
        <v>2772.9</v>
      </c>
      <c r="O161" s="178"/>
      <c r="P161" s="92"/>
      <c r="Q161" s="43"/>
    </row>
    <row r="162" spans="1:17" ht="18.75" x14ac:dyDescent="0.2">
      <c r="A162" s="42"/>
      <c r="B162" s="168" t="s">
        <v>187</v>
      </c>
      <c r="C162" s="169" t="s">
        <v>188</v>
      </c>
      <c r="D162" s="170" t="s">
        <v>26</v>
      </c>
      <c r="E162" s="171"/>
      <c r="F162" s="172">
        <f>F163</f>
        <v>3270</v>
      </c>
      <c r="G162" s="172">
        <f>G163</f>
        <v>0</v>
      </c>
      <c r="H162" s="172">
        <f>H163</f>
        <v>3270</v>
      </c>
      <c r="I162" s="188">
        <f>I163</f>
        <v>0</v>
      </c>
      <c r="J162" s="189"/>
      <c r="K162" s="188">
        <f>K163</f>
        <v>0</v>
      </c>
      <c r="L162" s="172">
        <f>L163</f>
        <v>3270</v>
      </c>
      <c r="M162" s="172">
        <f>M163</f>
        <v>0</v>
      </c>
      <c r="N162" s="172">
        <f>N163</f>
        <v>3270</v>
      </c>
      <c r="O162" s="178"/>
      <c r="P162" s="92"/>
    </row>
    <row r="163" spans="1:17" ht="31.5" x14ac:dyDescent="0.2">
      <c r="A163" s="42"/>
      <c r="B163" s="168" t="s">
        <v>35</v>
      </c>
      <c r="C163" s="169" t="s">
        <v>188</v>
      </c>
      <c r="D163" s="170" t="s">
        <v>36</v>
      </c>
      <c r="E163" s="171"/>
      <c r="F163" s="172">
        <v>3270</v>
      </c>
      <c r="G163" s="172"/>
      <c r="H163" s="172">
        <f>SUM(F163)+G163</f>
        <v>3270</v>
      </c>
      <c r="I163" s="188">
        <v>0</v>
      </c>
      <c r="J163" s="189"/>
      <c r="K163" s="188">
        <v>0</v>
      </c>
      <c r="L163" s="172">
        <f t="shared" ref="L163:N165" si="38">SUM(F163)</f>
        <v>3270</v>
      </c>
      <c r="M163" s="172">
        <f t="shared" si="38"/>
        <v>0</v>
      </c>
      <c r="N163" s="172">
        <f t="shared" si="38"/>
        <v>3270</v>
      </c>
      <c r="O163" s="178"/>
      <c r="P163" s="92"/>
    </row>
    <row r="164" spans="1:17" ht="27" customHeight="1" x14ac:dyDescent="0.2">
      <c r="A164" s="42"/>
      <c r="B164" s="168" t="s">
        <v>189</v>
      </c>
      <c r="C164" s="169" t="s">
        <v>190</v>
      </c>
      <c r="D164" s="170"/>
      <c r="E164" s="171"/>
      <c r="F164" s="172">
        <v>583.6</v>
      </c>
      <c r="G164" s="172">
        <f>G165</f>
        <v>0</v>
      </c>
      <c r="H164" s="172">
        <f>SUM(F164)+G164</f>
        <v>583.6</v>
      </c>
      <c r="I164" s="188"/>
      <c r="J164" s="189"/>
      <c r="K164" s="188"/>
      <c r="L164" s="172">
        <f t="shared" si="38"/>
        <v>583.6</v>
      </c>
      <c r="M164" s="172">
        <f t="shared" si="38"/>
        <v>0</v>
      </c>
      <c r="N164" s="172">
        <f t="shared" si="38"/>
        <v>583.6</v>
      </c>
      <c r="O164" s="178"/>
      <c r="P164" s="92"/>
    </row>
    <row r="165" spans="1:17" ht="31.5" x14ac:dyDescent="0.2">
      <c r="A165" s="42"/>
      <c r="B165" s="168" t="s">
        <v>35</v>
      </c>
      <c r="C165" s="169" t="s">
        <v>190</v>
      </c>
      <c r="D165" s="170" t="s">
        <v>36</v>
      </c>
      <c r="E165" s="171"/>
      <c r="F165" s="172">
        <v>583.6</v>
      </c>
      <c r="G165" s="172"/>
      <c r="H165" s="172">
        <f>SUM(F165)+G165</f>
        <v>583.6</v>
      </c>
      <c r="I165" s="188"/>
      <c r="J165" s="189"/>
      <c r="K165" s="188"/>
      <c r="L165" s="172">
        <f t="shared" si="38"/>
        <v>583.6</v>
      </c>
      <c r="M165" s="172">
        <f t="shared" si="38"/>
        <v>0</v>
      </c>
      <c r="N165" s="172">
        <f t="shared" si="38"/>
        <v>583.6</v>
      </c>
      <c r="O165" s="178"/>
      <c r="P165" s="92"/>
    </row>
    <row r="166" spans="1:17" ht="18.75" x14ac:dyDescent="0.2">
      <c r="A166" s="42"/>
      <c r="B166" s="202" t="s">
        <v>482</v>
      </c>
      <c r="C166" s="169" t="s">
        <v>481</v>
      </c>
      <c r="D166" s="170"/>
      <c r="E166" s="171"/>
      <c r="F166" s="172"/>
      <c r="G166" s="172"/>
      <c r="H166" s="172"/>
      <c r="I166" s="188">
        <f t="shared" ref="I166:N166" si="39">I167</f>
        <v>3070</v>
      </c>
      <c r="J166" s="188">
        <f t="shared" si="39"/>
        <v>0</v>
      </c>
      <c r="K166" s="188">
        <f t="shared" si="39"/>
        <v>3070</v>
      </c>
      <c r="L166" s="188">
        <f t="shared" si="39"/>
        <v>3070</v>
      </c>
      <c r="M166" s="188">
        <f t="shared" si="39"/>
        <v>0</v>
      </c>
      <c r="N166" s="188">
        <f t="shared" si="39"/>
        <v>3070</v>
      </c>
      <c r="O166" s="178"/>
      <c r="P166" s="92"/>
    </row>
    <row r="167" spans="1:17" ht="31.5" x14ac:dyDescent="0.2">
      <c r="A167" s="42"/>
      <c r="B167" s="197" t="s">
        <v>35</v>
      </c>
      <c r="C167" s="169" t="s">
        <v>481</v>
      </c>
      <c r="D167" s="170" t="s">
        <v>36</v>
      </c>
      <c r="E167" s="171"/>
      <c r="F167" s="172"/>
      <c r="G167" s="172"/>
      <c r="H167" s="172">
        <f>SUM(G167)</f>
        <v>0</v>
      </c>
      <c r="I167" s="188">
        <v>3070</v>
      </c>
      <c r="J167" s="189"/>
      <c r="K167" s="188">
        <f>SUM(I167:J167)</f>
        <v>3070</v>
      </c>
      <c r="L167" s="172">
        <f>F167+I167</f>
        <v>3070</v>
      </c>
      <c r="M167" s="172">
        <f>G167+J167</f>
        <v>0</v>
      </c>
      <c r="N167" s="172">
        <f>H167+K167</f>
        <v>3070</v>
      </c>
      <c r="O167" s="178"/>
      <c r="P167" s="92"/>
    </row>
    <row r="168" spans="1:17" ht="31.5" x14ac:dyDescent="0.2">
      <c r="A168" s="42"/>
      <c r="B168" s="168" t="s">
        <v>191</v>
      </c>
      <c r="C168" s="169" t="s">
        <v>192</v>
      </c>
      <c r="D168" s="170" t="s">
        <v>26</v>
      </c>
      <c r="E168" s="171"/>
      <c r="F168" s="172">
        <f>F169</f>
        <v>4252.3999999999996</v>
      </c>
      <c r="G168" s="172">
        <f>G169</f>
        <v>2209.8000000000002</v>
      </c>
      <c r="H168" s="172">
        <f>H169</f>
        <v>6462.2</v>
      </c>
      <c r="I168" s="188">
        <f>I169</f>
        <v>0</v>
      </c>
      <c r="J168" s="189"/>
      <c r="K168" s="188">
        <f>K169</f>
        <v>0</v>
      </c>
      <c r="L168" s="172">
        <f>L169</f>
        <v>4252.3999999999996</v>
      </c>
      <c r="M168" s="172">
        <f>M169</f>
        <v>2209.8000000000002</v>
      </c>
      <c r="N168" s="172">
        <f>N169</f>
        <v>6462.2</v>
      </c>
      <c r="O168" s="178"/>
      <c r="P168" s="92"/>
    </row>
    <row r="169" spans="1:17" ht="31.5" x14ac:dyDescent="0.2">
      <c r="A169" s="42"/>
      <c r="B169" s="168" t="s">
        <v>35</v>
      </c>
      <c r="C169" s="169" t="s">
        <v>192</v>
      </c>
      <c r="D169" s="170" t="s">
        <v>36</v>
      </c>
      <c r="E169" s="171"/>
      <c r="F169" s="172">
        <v>4252.3999999999996</v>
      </c>
      <c r="G169" s="172">
        <f>2000+209.8</f>
        <v>2209.8000000000002</v>
      </c>
      <c r="H169" s="172">
        <f>SUM(F169:G169)</f>
        <v>6462.2</v>
      </c>
      <c r="I169" s="188">
        <v>0</v>
      </c>
      <c r="J169" s="189"/>
      <c r="K169" s="188">
        <v>0</v>
      </c>
      <c r="L169" s="172">
        <f>SUM(F169)</f>
        <v>4252.3999999999996</v>
      </c>
      <c r="M169" s="172">
        <f>SUM(G169)</f>
        <v>2209.8000000000002</v>
      </c>
      <c r="N169" s="172">
        <f>SUM(H169)</f>
        <v>6462.2</v>
      </c>
      <c r="O169" s="178"/>
      <c r="P169" s="92"/>
    </row>
    <row r="170" spans="1:17" ht="34.9" customHeight="1" x14ac:dyDescent="0.2">
      <c r="A170" s="42"/>
      <c r="B170" s="168" t="s">
        <v>193</v>
      </c>
      <c r="C170" s="169" t="s">
        <v>194</v>
      </c>
      <c r="D170" s="170" t="s">
        <v>26</v>
      </c>
      <c r="E170" s="171"/>
      <c r="F170" s="172">
        <f>F171</f>
        <v>7140.9</v>
      </c>
      <c r="G170" s="172">
        <f>G171</f>
        <v>0</v>
      </c>
      <c r="H170" s="172">
        <f>H171</f>
        <v>7140.9</v>
      </c>
      <c r="I170" s="188">
        <f>I171</f>
        <v>0</v>
      </c>
      <c r="J170" s="189"/>
      <c r="K170" s="188">
        <f>K171</f>
        <v>0</v>
      </c>
      <c r="L170" s="172">
        <f>L171</f>
        <v>7140.9</v>
      </c>
      <c r="M170" s="172">
        <f>M171</f>
        <v>0</v>
      </c>
      <c r="N170" s="172">
        <f>N171</f>
        <v>7140.9</v>
      </c>
      <c r="O170" s="178"/>
      <c r="P170" s="92"/>
    </row>
    <row r="171" spans="1:17" ht="30.75" customHeight="1" x14ac:dyDescent="0.2">
      <c r="A171" s="42"/>
      <c r="B171" s="168" t="s">
        <v>35</v>
      </c>
      <c r="C171" s="169" t="s">
        <v>194</v>
      </c>
      <c r="D171" s="170" t="s">
        <v>36</v>
      </c>
      <c r="E171" s="171"/>
      <c r="F171" s="172">
        <v>7140.9</v>
      </c>
      <c r="G171" s="172"/>
      <c r="H171" s="172">
        <f>SUM(F171)+G171</f>
        <v>7140.9</v>
      </c>
      <c r="I171" s="188">
        <v>0</v>
      </c>
      <c r="J171" s="189"/>
      <c r="K171" s="188">
        <v>0</v>
      </c>
      <c r="L171" s="172">
        <f>SUM(F171)</f>
        <v>7140.9</v>
      </c>
      <c r="M171" s="172">
        <f>SUM(G171)</f>
        <v>0</v>
      </c>
      <c r="N171" s="172">
        <f>SUM(H171)</f>
        <v>7140.9</v>
      </c>
      <c r="O171" s="178"/>
      <c r="P171" s="92"/>
    </row>
    <row r="172" spans="1:17" ht="18.75" hidden="1" x14ac:dyDescent="0.2">
      <c r="A172" s="42"/>
      <c r="B172" s="168"/>
      <c r="C172" s="169"/>
      <c r="D172" s="170"/>
      <c r="E172" s="171"/>
      <c r="F172" s="172"/>
      <c r="G172" s="172"/>
      <c r="H172" s="172"/>
      <c r="I172" s="188"/>
      <c r="J172" s="189"/>
      <c r="K172" s="189"/>
      <c r="L172" s="172"/>
      <c r="M172" s="172">
        <f t="shared" ref="M172:N175" si="40">SUM(J172)</f>
        <v>0</v>
      </c>
      <c r="N172" s="172">
        <f t="shared" si="40"/>
        <v>0</v>
      </c>
      <c r="O172" s="178"/>
      <c r="P172" s="92"/>
    </row>
    <row r="173" spans="1:17" ht="31.5" hidden="1" x14ac:dyDescent="0.2">
      <c r="A173" s="42"/>
      <c r="B173" s="168" t="s">
        <v>35</v>
      </c>
      <c r="C173" s="169"/>
      <c r="D173" s="170" t="s">
        <v>36</v>
      </c>
      <c r="E173" s="171"/>
      <c r="F173" s="172"/>
      <c r="G173" s="172"/>
      <c r="H173" s="172"/>
      <c r="I173" s="188"/>
      <c r="J173" s="189"/>
      <c r="K173" s="188">
        <f>SUM(J173)</f>
        <v>0</v>
      </c>
      <c r="L173" s="172"/>
      <c r="M173" s="172">
        <f t="shared" si="40"/>
        <v>0</v>
      </c>
      <c r="N173" s="172">
        <f t="shared" si="40"/>
        <v>0</v>
      </c>
      <c r="O173" s="178"/>
      <c r="P173" s="92"/>
    </row>
    <row r="174" spans="1:17" ht="18.75" hidden="1" x14ac:dyDescent="0.2">
      <c r="A174" s="42"/>
      <c r="B174" s="168"/>
      <c r="C174" s="169"/>
      <c r="D174" s="170"/>
      <c r="E174" s="171"/>
      <c r="F174" s="172"/>
      <c r="G174" s="172"/>
      <c r="H174" s="172"/>
      <c r="I174" s="188"/>
      <c r="J174" s="189"/>
      <c r="K174" s="189"/>
      <c r="L174" s="172"/>
      <c r="M174" s="172">
        <f t="shared" si="40"/>
        <v>0</v>
      </c>
      <c r="N174" s="172">
        <f t="shared" si="40"/>
        <v>0</v>
      </c>
      <c r="O174" s="178"/>
      <c r="P174" s="92"/>
    </row>
    <row r="175" spans="1:17" ht="31.5" hidden="1" x14ac:dyDescent="0.2">
      <c r="A175" s="42"/>
      <c r="B175" s="168" t="s">
        <v>35</v>
      </c>
      <c r="C175" s="169"/>
      <c r="D175" s="170" t="s">
        <v>36</v>
      </c>
      <c r="E175" s="171"/>
      <c r="F175" s="172"/>
      <c r="G175" s="172"/>
      <c r="H175" s="172"/>
      <c r="I175" s="188"/>
      <c r="J175" s="189"/>
      <c r="K175" s="189"/>
      <c r="L175" s="172"/>
      <c r="M175" s="172">
        <f t="shared" si="40"/>
        <v>0</v>
      </c>
      <c r="N175" s="172">
        <f t="shared" si="40"/>
        <v>0</v>
      </c>
      <c r="O175" s="178"/>
      <c r="P175" s="92"/>
    </row>
    <row r="176" spans="1:17" ht="52.15" customHeight="1" x14ac:dyDescent="0.2">
      <c r="A176" s="42"/>
      <c r="B176" s="168" t="s">
        <v>477</v>
      </c>
      <c r="C176" s="169" t="s">
        <v>474</v>
      </c>
      <c r="D176" s="170"/>
      <c r="E176" s="171"/>
      <c r="F176" s="172">
        <v>0</v>
      </c>
      <c r="G176" s="172"/>
      <c r="H176" s="172">
        <f>SUM(F176)</f>
        <v>0</v>
      </c>
      <c r="I176" s="189">
        <f>SUM(I177)</f>
        <v>2500.4</v>
      </c>
      <c r="J176" s="189">
        <f>SUM(J177)</f>
        <v>0</v>
      </c>
      <c r="K176" s="189">
        <f>SUM(K177)</f>
        <v>2500.4</v>
      </c>
      <c r="L176" s="172">
        <f>SUM(I176)</f>
        <v>2500.4</v>
      </c>
      <c r="M176" s="172">
        <f>SUM(G176)+J176</f>
        <v>0</v>
      </c>
      <c r="N176" s="172">
        <f>SUM(K176)+H176+M176</f>
        <v>2500.4</v>
      </c>
      <c r="O176" s="178"/>
      <c r="P176" s="92"/>
    </row>
    <row r="177" spans="1:16" ht="31.5" x14ac:dyDescent="0.2">
      <c r="A177" s="42"/>
      <c r="B177" s="168" t="s">
        <v>35</v>
      </c>
      <c r="C177" s="169" t="s">
        <v>474</v>
      </c>
      <c r="D177" s="170" t="s">
        <v>36</v>
      </c>
      <c r="E177" s="171"/>
      <c r="F177" s="172">
        <v>0</v>
      </c>
      <c r="G177" s="172"/>
      <c r="H177" s="172">
        <f>SUM(F177)</f>
        <v>0</v>
      </c>
      <c r="I177" s="188">
        <v>2500.4</v>
      </c>
      <c r="J177" s="189"/>
      <c r="K177" s="189">
        <f>SUM(J177)+I177</f>
        <v>2500.4</v>
      </c>
      <c r="L177" s="172">
        <f>SUM(F177+I177)</f>
        <v>2500.4</v>
      </c>
      <c r="M177" s="172">
        <f>SUM(G177)+J177</f>
        <v>0</v>
      </c>
      <c r="N177" s="172">
        <f>SUM(K177)+H177+M177</f>
        <v>2500.4</v>
      </c>
      <c r="O177" s="178"/>
      <c r="P177" s="92"/>
    </row>
    <row r="178" spans="1:16" ht="18.75" x14ac:dyDescent="0.2">
      <c r="A178" s="42"/>
      <c r="B178" s="168" t="s">
        <v>476</v>
      </c>
      <c r="C178" s="169" t="s">
        <v>475</v>
      </c>
      <c r="D178" s="170"/>
      <c r="E178" s="171"/>
      <c r="F178" s="172"/>
      <c r="G178" s="172"/>
      <c r="H178" s="172">
        <f>SUM(G178)</f>
        <v>0</v>
      </c>
      <c r="I178" s="188">
        <v>4251.8</v>
      </c>
      <c r="J178" s="189"/>
      <c r="K178" s="189">
        <v>4251.8</v>
      </c>
      <c r="L178" s="172">
        <f>SUM(I178)</f>
        <v>4251.8</v>
      </c>
      <c r="M178" s="172">
        <f>SUM(J178)+H178</f>
        <v>0</v>
      </c>
      <c r="N178" s="172">
        <f>SUM(K178)</f>
        <v>4251.8</v>
      </c>
      <c r="O178" s="178"/>
      <c r="P178" s="92"/>
    </row>
    <row r="179" spans="1:16" ht="31.5" x14ac:dyDescent="0.2">
      <c r="A179" s="42"/>
      <c r="B179" s="168" t="s">
        <v>35</v>
      </c>
      <c r="C179" s="169" t="s">
        <v>475</v>
      </c>
      <c r="D179" s="170" t="s">
        <v>36</v>
      </c>
      <c r="E179" s="171"/>
      <c r="F179" s="172"/>
      <c r="G179" s="172"/>
      <c r="H179" s="172">
        <f>SUM(G179)</f>
        <v>0</v>
      </c>
      <c r="I179" s="188">
        <v>4251.8</v>
      </c>
      <c r="J179" s="189"/>
      <c r="K179" s="188">
        <v>4251.8</v>
      </c>
      <c r="L179" s="172">
        <f>SUM(I179)</f>
        <v>4251.8</v>
      </c>
      <c r="M179" s="172">
        <f>SUM(J179)+H179</f>
        <v>0</v>
      </c>
      <c r="N179" s="172">
        <f>SUM(K179)</f>
        <v>4251.8</v>
      </c>
      <c r="O179" s="178"/>
      <c r="P179" s="92"/>
    </row>
    <row r="180" spans="1:16" ht="96" customHeight="1" x14ac:dyDescent="0.2">
      <c r="A180" s="42"/>
      <c r="B180" s="168" t="s">
        <v>493</v>
      </c>
      <c r="C180" s="169" t="s">
        <v>452</v>
      </c>
      <c r="D180" s="170"/>
      <c r="E180" s="171"/>
      <c r="F180" s="172">
        <f>SUM(F181)</f>
        <v>66.400000000000006</v>
      </c>
      <c r="G180" s="172">
        <f>SUM(G181)</f>
        <v>0</v>
      </c>
      <c r="H180" s="172">
        <f>SUM(F180)</f>
        <v>66.400000000000006</v>
      </c>
      <c r="I180" s="188">
        <f>SUM(I181)</f>
        <v>1260</v>
      </c>
      <c r="J180" s="189">
        <f>SUM(J181)</f>
        <v>0</v>
      </c>
      <c r="K180" s="188">
        <f>SUM(I180)</f>
        <v>1260</v>
      </c>
      <c r="L180" s="172">
        <f>SUM(F180+I180)</f>
        <v>1326.4</v>
      </c>
      <c r="M180" s="172">
        <f>SUM(J180)+G180</f>
        <v>0</v>
      </c>
      <c r="N180" s="172">
        <f>SUM(K180)+H180</f>
        <v>1326.4</v>
      </c>
      <c r="O180" s="178"/>
      <c r="P180" s="92"/>
    </row>
    <row r="181" spans="1:16" ht="35.450000000000003" customHeight="1" x14ac:dyDescent="0.2">
      <c r="A181" s="42"/>
      <c r="B181" s="168" t="s">
        <v>35</v>
      </c>
      <c r="C181" s="169" t="s">
        <v>452</v>
      </c>
      <c r="D181" s="170" t="s">
        <v>36</v>
      </c>
      <c r="E181" s="171"/>
      <c r="F181" s="172">
        <v>66.400000000000006</v>
      </c>
      <c r="G181" s="172"/>
      <c r="H181" s="172">
        <f>SUM(F181)</f>
        <v>66.400000000000006</v>
      </c>
      <c r="I181" s="188">
        <v>1260</v>
      </c>
      <c r="J181" s="189"/>
      <c r="K181" s="188">
        <f>SUM(I181)</f>
        <v>1260</v>
      </c>
      <c r="L181" s="172">
        <f>SUM(F181+I181)</f>
        <v>1326.4</v>
      </c>
      <c r="M181" s="172">
        <f>SUM(J181)+G181</f>
        <v>0</v>
      </c>
      <c r="N181" s="172">
        <f>SUM(K181)+H181</f>
        <v>1326.4</v>
      </c>
      <c r="O181" s="178"/>
      <c r="P181" s="92"/>
    </row>
    <row r="182" spans="1:16" ht="18.75" hidden="1" x14ac:dyDescent="0.2">
      <c r="A182" s="42"/>
      <c r="B182" s="168"/>
      <c r="C182" s="169" t="s">
        <v>317</v>
      </c>
      <c r="D182" s="170"/>
      <c r="E182" s="171"/>
      <c r="F182" s="172"/>
      <c r="G182" s="172"/>
      <c r="H182" s="172"/>
      <c r="I182" s="188"/>
      <c r="J182" s="189"/>
      <c r="K182" s="188"/>
      <c r="L182" s="172"/>
      <c r="M182" s="172"/>
      <c r="N182" s="172"/>
      <c r="O182" s="178"/>
      <c r="P182" s="92"/>
    </row>
    <row r="183" spans="1:16" ht="18.75" hidden="1" x14ac:dyDescent="0.2">
      <c r="A183" s="42"/>
      <c r="B183" s="168"/>
      <c r="C183" s="169" t="s">
        <v>319</v>
      </c>
      <c r="D183" s="170"/>
      <c r="E183" s="171"/>
      <c r="F183" s="172"/>
      <c r="G183" s="172"/>
      <c r="H183" s="172"/>
      <c r="I183" s="188"/>
      <c r="J183" s="189"/>
      <c r="K183" s="188"/>
      <c r="L183" s="172"/>
      <c r="M183" s="172"/>
      <c r="N183" s="172"/>
      <c r="O183" s="178"/>
      <c r="P183" s="92"/>
    </row>
    <row r="184" spans="1:16" ht="18.75" hidden="1" x14ac:dyDescent="0.2">
      <c r="A184" s="42"/>
      <c r="B184" s="168"/>
      <c r="C184" s="169" t="s">
        <v>466</v>
      </c>
      <c r="D184" s="170"/>
      <c r="E184" s="171"/>
      <c r="F184" s="172"/>
      <c r="G184" s="172"/>
      <c r="H184" s="172"/>
      <c r="I184" s="188"/>
      <c r="J184" s="189"/>
      <c r="K184" s="188"/>
      <c r="L184" s="172"/>
      <c r="M184" s="172"/>
      <c r="N184" s="172"/>
      <c r="O184" s="178"/>
      <c r="P184" s="92"/>
    </row>
    <row r="185" spans="1:16" ht="31.5" hidden="1" x14ac:dyDescent="0.2">
      <c r="A185" s="42"/>
      <c r="B185" s="168" t="s">
        <v>35</v>
      </c>
      <c r="C185" s="169" t="s">
        <v>467</v>
      </c>
      <c r="D185" s="170" t="s">
        <v>36</v>
      </c>
      <c r="E185" s="171"/>
      <c r="F185" s="172"/>
      <c r="G185" s="172"/>
      <c r="H185" s="172"/>
      <c r="I185" s="188"/>
      <c r="J185" s="189"/>
      <c r="K185" s="188"/>
      <c r="L185" s="172"/>
      <c r="M185" s="172"/>
      <c r="N185" s="172"/>
      <c r="O185" s="178"/>
      <c r="P185" s="92"/>
    </row>
    <row r="186" spans="1:16" ht="21.6" customHeight="1" x14ac:dyDescent="0.2">
      <c r="A186" s="49"/>
      <c r="B186" s="190" t="s">
        <v>195</v>
      </c>
      <c r="C186" s="191" t="s">
        <v>196</v>
      </c>
      <c r="D186" s="192" t="s">
        <v>26</v>
      </c>
      <c r="E186" s="193"/>
      <c r="F186" s="194">
        <f t="shared" ref="F186:N186" si="41">F187</f>
        <v>6922.1</v>
      </c>
      <c r="G186" s="194">
        <f t="shared" si="41"/>
        <v>0</v>
      </c>
      <c r="H186" s="194">
        <f t="shared" si="41"/>
        <v>6922.1</v>
      </c>
      <c r="I186" s="195">
        <f t="shared" si="41"/>
        <v>0</v>
      </c>
      <c r="J186" s="194">
        <f t="shared" si="41"/>
        <v>0</v>
      </c>
      <c r="K186" s="195">
        <f t="shared" si="41"/>
        <v>0</v>
      </c>
      <c r="L186" s="194">
        <f t="shared" si="41"/>
        <v>6922.1</v>
      </c>
      <c r="M186" s="194">
        <f t="shared" si="41"/>
        <v>0</v>
      </c>
      <c r="N186" s="194">
        <f t="shared" si="41"/>
        <v>6922.1</v>
      </c>
      <c r="O186" s="178"/>
      <c r="P186" s="92"/>
    </row>
    <row r="187" spans="1:16" ht="31.5" x14ac:dyDescent="0.2">
      <c r="A187" s="42"/>
      <c r="B187" s="168" t="s">
        <v>197</v>
      </c>
      <c r="C187" s="169" t="s">
        <v>198</v>
      </c>
      <c r="D187" s="170" t="s">
        <v>26</v>
      </c>
      <c r="E187" s="171"/>
      <c r="F187" s="172">
        <f>F188+F190</f>
        <v>6922.1</v>
      </c>
      <c r="G187" s="172">
        <f>G188+G190</f>
        <v>0</v>
      </c>
      <c r="H187" s="172">
        <f>H188+H190</f>
        <v>6922.1</v>
      </c>
      <c r="I187" s="188">
        <f>I188+I190</f>
        <v>0</v>
      </c>
      <c r="J187" s="189"/>
      <c r="K187" s="188">
        <f>K188+K190</f>
        <v>0</v>
      </c>
      <c r="L187" s="172">
        <f>L188+L190</f>
        <v>6922.1</v>
      </c>
      <c r="M187" s="172">
        <f>M188+M190</f>
        <v>0</v>
      </c>
      <c r="N187" s="172">
        <f>N188+N190</f>
        <v>6922.1</v>
      </c>
      <c r="O187" s="178"/>
      <c r="P187" s="92"/>
    </row>
    <row r="188" spans="1:16" ht="31.9" customHeight="1" x14ac:dyDescent="0.2">
      <c r="A188" s="42"/>
      <c r="B188" s="168" t="s">
        <v>199</v>
      </c>
      <c r="C188" s="169" t="s">
        <v>200</v>
      </c>
      <c r="D188" s="170" t="s">
        <v>26</v>
      </c>
      <c r="E188" s="171"/>
      <c r="F188" s="172">
        <f>F189</f>
        <v>2400</v>
      </c>
      <c r="G188" s="172">
        <f>G189</f>
        <v>0</v>
      </c>
      <c r="H188" s="172">
        <f>H189</f>
        <v>2400</v>
      </c>
      <c r="I188" s="188">
        <f>I189</f>
        <v>0</v>
      </c>
      <c r="J188" s="189"/>
      <c r="K188" s="188">
        <f>K189</f>
        <v>0</v>
      </c>
      <c r="L188" s="172">
        <f>L189</f>
        <v>2400</v>
      </c>
      <c r="M188" s="172">
        <f>M189</f>
        <v>0</v>
      </c>
      <c r="N188" s="172">
        <f>N189</f>
        <v>2400</v>
      </c>
      <c r="O188" s="178"/>
      <c r="P188" s="92"/>
    </row>
    <row r="189" spans="1:16" ht="31.5" x14ac:dyDescent="0.2">
      <c r="A189" s="42"/>
      <c r="B189" s="168" t="s">
        <v>35</v>
      </c>
      <c r="C189" s="169" t="s">
        <v>200</v>
      </c>
      <c r="D189" s="170" t="s">
        <v>36</v>
      </c>
      <c r="E189" s="171"/>
      <c r="F189" s="172">
        <v>2400</v>
      </c>
      <c r="G189" s="172"/>
      <c r="H189" s="172">
        <v>2400</v>
      </c>
      <c r="I189" s="188">
        <v>0</v>
      </c>
      <c r="J189" s="189"/>
      <c r="K189" s="188">
        <v>0</v>
      </c>
      <c r="L189" s="172">
        <v>2400</v>
      </c>
      <c r="M189" s="172"/>
      <c r="N189" s="172">
        <v>2400</v>
      </c>
      <c r="O189" s="178"/>
      <c r="P189" s="92"/>
    </row>
    <row r="190" spans="1:16" ht="31.5" x14ac:dyDescent="0.2">
      <c r="A190" s="42"/>
      <c r="B190" s="168" t="s">
        <v>201</v>
      </c>
      <c r="C190" s="169" t="s">
        <v>202</v>
      </c>
      <c r="D190" s="170" t="s">
        <v>26</v>
      </c>
      <c r="E190" s="171"/>
      <c r="F190" s="172">
        <f>F191</f>
        <v>4522.1000000000004</v>
      </c>
      <c r="G190" s="172">
        <f>G191</f>
        <v>0</v>
      </c>
      <c r="H190" s="172">
        <f>H191</f>
        <v>4522.1000000000004</v>
      </c>
      <c r="I190" s="188">
        <f>I191</f>
        <v>0</v>
      </c>
      <c r="J190" s="189"/>
      <c r="K190" s="188">
        <f>K191</f>
        <v>0</v>
      </c>
      <c r="L190" s="172">
        <f>L191</f>
        <v>4522.1000000000004</v>
      </c>
      <c r="M190" s="172">
        <f>M191</f>
        <v>0</v>
      </c>
      <c r="N190" s="172">
        <f>N191</f>
        <v>4522.1000000000004</v>
      </c>
      <c r="O190" s="178"/>
      <c r="P190" s="92"/>
    </row>
    <row r="191" spans="1:16" ht="31.5" x14ac:dyDescent="0.2">
      <c r="A191" s="42"/>
      <c r="B191" s="168" t="s">
        <v>35</v>
      </c>
      <c r="C191" s="169" t="s">
        <v>202</v>
      </c>
      <c r="D191" s="170" t="s">
        <v>36</v>
      </c>
      <c r="E191" s="171"/>
      <c r="F191" s="172">
        <v>4522.1000000000004</v>
      </c>
      <c r="G191" s="172"/>
      <c r="H191" s="172">
        <f>SUM(F191)+G191</f>
        <v>4522.1000000000004</v>
      </c>
      <c r="I191" s="188">
        <v>0</v>
      </c>
      <c r="J191" s="189"/>
      <c r="K191" s="188">
        <v>0</v>
      </c>
      <c r="L191" s="172">
        <f>SUM(F191)</f>
        <v>4522.1000000000004</v>
      </c>
      <c r="M191" s="172">
        <f>SUM(G191)</f>
        <v>0</v>
      </c>
      <c r="N191" s="172">
        <f>SUM(H191)</f>
        <v>4522.1000000000004</v>
      </c>
      <c r="O191" s="178"/>
      <c r="P191" s="92"/>
    </row>
    <row r="192" spans="1:16" ht="18.75" x14ac:dyDescent="0.2">
      <c r="A192" s="49"/>
      <c r="B192" s="190" t="s">
        <v>203</v>
      </c>
      <c r="C192" s="191" t="s">
        <v>204</v>
      </c>
      <c r="D192" s="192" t="s">
        <v>26</v>
      </c>
      <c r="E192" s="193"/>
      <c r="F192" s="194">
        <f>F193+F196+F206+F203</f>
        <v>139990.70000000001</v>
      </c>
      <c r="G192" s="194">
        <f>G193+G196+G206+G203</f>
        <v>0</v>
      </c>
      <c r="H192" s="194">
        <f>H193+H196+H206+H203</f>
        <v>139990.70000000001</v>
      </c>
      <c r="I192" s="195">
        <f>I193+I196</f>
        <v>0</v>
      </c>
      <c r="J192" s="194">
        <f>J193+J196</f>
        <v>0</v>
      </c>
      <c r="K192" s="195">
        <f>K193+K196</f>
        <v>0</v>
      </c>
      <c r="L192" s="194">
        <f>L193+L196+L206+L203</f>
        <v>139990.70000000001</v>
      </c>
      <c r="M192" s="194">
        <f>M193+M196+M206+M203</f>
        <v>0</v>
      </c>
      <c r="N192" s="194">
        <f>N193+N196+N206+N203</f>
        <v>139990.70000000001</v>
      </c>
      <c r="O192" s="178"/>
      <c r="P192" s="92"/>
    </row>
    <row r="193" spans="1:16" ht="31.5" x14ac:dyDescent="0.2">
      <c r="A193" s="42"/>
      <c r="B193" s="168" t="s">
        <v>205</v>
      </c>
      <c r="C193" s="169" t="s">
        <v>206</v>
      </c>
      <c r="D193" s="170" t="s">
        <v>26</v>
      </c>
      <c r="E193" s="171"/>
      <c r="F193" s="172">
        <f t="shared" ref="F193:N194" si="42">F194</f>
        <v>8699.1</v>
      </c>
      <c r="G193" s="172">
        <f t="shared" si="42"/>
        <v>0</v>
      </c>
      <c r="H193" s="172">
        <f t="shared" si="42"/>
        <v>8699.1</v>
      </c>
      <c r="I193" s="188">
        <f t="shared" si="42"/>
        <v>0</v>
      </c>
      <c r="J193" s="189"/>
      <c r="K193" s="188">
        <f t="shared" si="42"/>
        <v>0</v>
      </c>
      <c r="L193" s="172">
        <f t="shared" si="42"/>
        <v>8699.1</v>
      </c>
      <c r="M193" s="172">
        <f t="shared" si="42"/>
        <v>0</v>
      </c>
      <c r="N193" s="172">
        <f t="shared" si="42"/>
        <v>8699.1</v>
      </c>
      <c r="O193" s="178"/>
      <c r="P193" s="92"/>
    </row>
    <row r="194" spans="1:16" ht="31.5" x14ac:dyDescent="0.2">
      <c r="A194" s="42"/>
      <c r="B194" s="168" t="s">
        <v>39</v>
      </c>
      <c r="C194" s="169" t="s">
        <v>207</v>
      </c>
      <c r="D194" s="170" t="s">
        <v>26</v>
      </c>
      <c r="E194" s="171"/>
      <c r="F194" s="172">
        <f t="shared" si="42"/>
        <v>8699.1</v>
      </c>
      <c r="G194" s="172">
        <f t="shared" si="42"/>
        <v>0</v>
      </c>
      <c r="H194" s="172">
        <f t="shared" si="42"/>
        <v>8699.1</v>
      </c>
      <c r="I194" s="188">
        <f t="shared" si="42"/>
        <v>0</v>
      </c>
      <c r="J194" s="189"/>
      <c r="K194" s="188">
        <f t="shared" si="42"/>
        <v>0</v>
      </c>
      <c r="L194" s="172">
        <f t="shared" si="42"/>
        <v>8699.1</v>
      </c>
      <c r="M194" s="172">
        <f t="shared" si="42"/>
        <v>0</v>
      </c>
      <c r="N194" s="172">
        <f t="shared" si="42"/>
        <v>8699.1</v>
      </c>
      <c r="O194" s="178"/>
      <c r="P194" s="92"/>
    </row>
    <row r="195" spans="1:16" ht="31.5" x14ac:dyDescent="0.2">
      <c r="A195" s="42"/>
      <c r="B195" s="168" t="s">
        <v>74</v>
      </c>
      <c r="C195" s="169" t="s">
        <v>207</v>
      </c>
      <c r="D195" s="170" t="s">
        <v>75</v>
      </c>
      <c r="E195" s="171"/>
      <c r="F195" s="172">
        <v>8699.1</v>
      </c>
      <c r="G195" s="172"/>
      <c r="H195" s="172">
        <f>SUM(F195)</f>
        <v>8699.1</v>
      </c>
      <c r="I195" s="188">
        <v>0</v>
      </c>
      <c r="J195" s="189"/>
      <c r="K195" s="188">
        <v>0</v>
      </c>
      <c r="L195" s="172">
        <f>SUM(F195)</f>
        <v>8699.1</v>
      </c>
      <c r="M195" s="172">
        <f>SUM(G195)</f>
        <v>0</v>
      </c>
      <c r="N195" s="172">
        <f>SUM(L195)</f>
        <v>8699.1</v>
      </c>
      <c r="O195" s="178"/>
      <c r="P195" s="92"/>
    </row>
    <row r="196" spans="1:16" ht="36" customHeight="1" x14ac:dyDescent="0.2">
      <c r="A196" s="42"/>
      <c r="B196" s="168" t="s">
        <v>208</v>
      </c>
      <c r="C196" s="169" t="s">
        <v>209</v>
      </c>
      <c r="D196" s="170" t="s">
        <v>26</v>
      </c>
      <c r="E196" s="171"/>
      <c r="F196" s="172">
        <f>F197+F199+F201</f>
        <v>121024.8</v>
      </c>
      <c r="G196" s="172">
        <f>SUM(G201)+G197+G199</f>
        <v>0</v>
      </c>
      <c r="H196" s="172">
        <f>H197+H199+H201</f>
        <v>121024.8</v>
      </c>
      <c r="I196" s="188">
        <f t="shared" ref="F196:N197" si="43">I197</f>
        <v>0</v>
      </c>
      <c r="J196" s="189"/>
      <c r="K196" s="188">
        <f t="shared" si="43"/>
        <v>0</v>
      </c>
      <c r="L196" s="172">
        <f>L197+L199+L201</f>
        <v>121024.8</v>
      </c>
      <c r="M196" s="172">
        <f>SUM(M201)+M197+M199</f>
        <v>0</v>
      </c>
      <c r="N196" s="172">
        <f>N197+N199+N201</f>
        <v>121024.8</v>
      </c>
      <c r="O196" s="178"/>
      <c r="P196" s="92"/>
    </row>
    <row r="197" spans="1:16" ht="31.5" x14ac:dyDescent="0.2">
      <c r="A197" s="42"/>
      <c r="B197" s="168" t="s">
        <v>39</v>
      </c>
      <c r="C197" s="169" t="s">
        <v>210</v>
      </c>
      <c r="D197" s="170" t="s">
        <v>26</v>
      </c>
      <c r="E197" s="171"/>
      <c r="F197" s="172">
        <f t="shared" si="43"/>
        <v>117945.8</v>
      </c>
      <c r="G197" s="172">
        <f t="shared" si="43"/>
        <v>0</v>
      </c>
      <c r="H197" s="172">
        <f t="shared" si="43"/>
        <v>117945.8</v>
      </c>
      <c r="I197" s="188">
        <f t="shared" si="43"/>
        <v>0</v>
      </c>
      <c r="J197" s="189"/>
      <c r="K197" s="188">
        <f t="shared" si="43"/>
        <v>0</v>
      </c>
      <c r="L197" s="172">
        <f t="shared" si="43"/>
        <v>117945.8</v>
      </c>
      <c r="M197" s="172">
        <f t="shared" si="43"/>
        <v>0</v>
      </c>
      <c r="N197" s="172">
        <f t="shared" si="43"/>
        <v>117945.8</v>
      </c>
      <c r="O197" s="178"/>
      <c r="P197" s="92"/>
    </row>
    <row r="198" spans="1:16" ht="30.75" customHeight="1" x14ac:dyDescent="0.2">
      <c r="A198" s="42"/>
      <c r="B198" s="168" t="s">
        <v>74</v>
      </c>
      <c r="C198" s="169" t="s">
        <v>210</v>
      </c>
      <c r="D198" s="170" t="s">
        <v>75</v>
      </c>
      <c r="E198" s="171"/>
      <c r="F198" s="172">
        <v>117945.8</v>
      </c>
      <c r="G198" s="172"/>
      <c r="H198" s="172">
        <f>SUM(F198+G198)</f>
        <v>117945.8</v>
      </c>
      <c r="I198" s="188">
        <v>0</v>
      </c>
      <c r="J198" s="189"/>
      <c r="K198" s="188">
        <v>0</v>
      </c>
      <c r="L198" s="172">
        <f>SUM(F197)</f>
        <v>117945.8</v>
      </c>
      <c r="M198" s="172">
        <f>SUM(G198)</f>
        <v>0</v>
      </c>
      <c r="N198" s="172">
        <f>SUM(H198)</f>
        <v>117945.8</v>
      </c>
      <c r="O198" s="178"/>
      <c r="P198" s="92"/>
    </row>
    <row r="199" spans="1:16" ht="31.5" customHeight="1" x14ac:dyDescent="0.2">
      <c r="A199" s="42"/>
      <c r="B199" s="168" t="s">
        <v>211</v>
      </c>
      <c r="C199" s="169" t="s">
        <v>212</v>
      </c>
      <c r="D199" s="170"/>
      <c r="E199" s="171"/>
      <c r="F199" s="172">
        <v>779</v>
      </c>
      <c r="G199" s="172"/>
      <c r="H199" s="172">
        <f>SUM(F199)</f>
        <v>779</v>
      </c>
      <c r="I199" s="188"/>
      <c r="J199" s="189"/>
      <c r="K199" s="188"/>
      <c r="L199" s="172">
        <f>SUM(F200)</f>
        <v>779</v>
      </c>
      <c r="M199" s="172">
        <f>SUM(G199)</f>
        <v>0</v>
      </c>
      <c r="N199" s="172">
        <f>SUM(L199)</f>
        <v>779</v>
      </c>
      <c r="O199" s="178"/>
      <c r="P199" s="92"/>
    </row>
    <row r="200" spans="1:16" ht="33.75" customHeight="1" x14ac:dyDescent="0.2">
      <c r="A200" s="42"/>
      <c r="B200" s="168" t="s">
        <v>74</v>
      </c>
      <c r="C200" s="169" t="s">
        <v>212</v>
      </c>
      <c r="D200" s="170" t="s">
        <v>75</v>
      </c>
      <c r="E200" s="171"/>
      <c r="F200" s="172">
        <v>779</v>
      </c>
      <c r="G200" s="172"/>
      <c r="H200" s="172">
        <f>SUM(F200)</f>
        <v>779</v>
      </c>
      <c r="I200" s="188"/>
      <c r="J200" s="189"/>
      <c r="K200" s="188"/>
      <c r="L200" s="172">
        <f t="shared" ref="L200:N208" si="44">SUM(F200)</f>
        <v>779</v>
      </c>
      <c r="M200" s="172">
        <f>SUM(G200)</f>
        <v>0</v>
      </c>
      <c r="N200" s="172">
        <f>SUM(L200)</f>
        <v>779</v>
      </c>
      <c r="O200" s="178"/>
      <c r="P200" s="92"/>
    </row>
    <row r="201" spans="1:16" ht="31.5" customHeight="1" x14ac:dyDescent="0.2">
      <c r="A201" s="42"/>
      <c r="B201" s="203" t="s">
        <v>78</v>
      </c>
      <c r="C201" s="169" t="s">
        <v>213</v>
      </c>
      <c r="D201" s="170"/>
      <c r="E201" s="171"/>
      <c r="F201" s="172">
        <v>2300</v>
      </c>
      <c r="G201" s="172">
        <f>SUM(G202)</f>
        <v>0</v>
      </c>
      <c r="H201" s="172">
        <f>SUM(H202)</f>
        <v>2300</v>
      </c>
      <c r="I201" s="188"/>
      <c r="J201" s="189"/>
      <c r="K201" s="188"/>
      <c r="L201" s="172">
        <f t="shared" si="44"/>
        <v>2300</v>
      </c>
      <c r="M201" s="172">
        <f t="shared" si="44"/>
        <v>0</v>
      </c>
      <c r="N201" s="172">
        <f t="shared" si="44"/>
        <v>2300</v>
      </c>
      <c r="O201" s="178"/>
      <c r="P201" s="92"/>
    </row>
    <row r="202" spans="1:16" ht="31.5" customHeight="1" x14ac:dyDescent="0.2">
      <c r="A202" s="42"/>
      <c r="B202" s="168" t="s">
        <v>74</v>
      </c>
      <c r="C202" s="169" t="s">
        <v>213</v>
      </c>
      <c r="D202" s="170" t="s">
        <v>75</v>
      </c>
      <c r="E202" s="171"/>
      <c r="F202" s="172">
        <v>2300</v>
      </c>
      <c r="G202" s="172"/>
      <c r="H202" s="172">
        <f>SUM(F202)</f>
        <v>2300</v>
      </c>
      <c r="I202" s="188"/>
      <c r="J202" s="189"/>
      <c r="K202" s="188"/>
      <c r="L202" s="172">
        <f t="shared" si="44"/>
        <v>2300</v>
      </c>
      <c r="M202" s="172">
        <f t="shared" si="44"/>
        <v>0</v>
      </c>
      <c r="N202" s="172">
        <f t="shared" si="44"/>
        <v>2300</v>
      </c>
      <c r="O202" s="178"/>
      <c r="P202" s="92"/>
    </row>
    <row r="203" spans="1:16" ht="57" customHeight="1" x14ac:dyDescent="0.2">
      <c r="A203" s="42"/>
      <c r="B203" s="198" t="s">
        <v>471</v>
      </c>
      <c r="C203" s="169" t="s">
        <v>469</v>
      </c>
      <c r="D203" s="170"/>
      <c r="E203" s="171"/>
      <c r="F203" s="172">
        <f>SUM(F204)</f>
        <v>3350</v>
      </c>
      <c r="G203" s="172">
        <f>SUM(G204)</f>
        <v>0</v>
      </c>
      <c r="H203" s="172">
        <f>SUM(H204)</f>
        <v>3350</v>
      </c>
      <c r="I203" s="188"/>
      <c r="J203" s="189"/>
      <c r="K203" s="188"/>
      <c r="L203" s="172">
        <f t="shared" si="44"/>
        <v>3350</v>
      </c>
      <c r="M203" s="172">
        <f t="shared" si="44"/>
        <v>0</v>
      </c>
      <c r="N203" s="172">
        <f t="shared" si="44"/>
        <v>3350</v>
      </c>
      <c r="O203" s="178"/>
      <c r="P203" s="92"/>
    </row>
    <row r="204" spans="1:16" ht="52.9" customHeight="1" x14ac:dyDescent="0.2">
      <c r="A204" s="42"/>
      <c r="B204" s="158" t="s">
        <v>480</v>
      </c>
      <c r="C204" s="169" t="s">
        <v>470</v>
      </c>
      <c r="D204" s="170"/>
      <c r="E204" s="171"/>
      <c r="F204" s="172">
        <f>SUM(F205)</f>
        <v>3350</v>
      </c>
      <c r="G204" s="172">
        <f>SUM(G205)</f>
        <v>0</v>
      </c>
      <c r="H204" s="172">
        <f>SUM(F204)+G204</f>
        <v>3350</v>
      </c>
      <c r="I204" s="188"/>
      <c r="J204" s="189"/>
      <c r="K204" s="188"/>
      <c r="L204" s="172">
        <f t="shared" si="44"/>
        <v>3350</v>
      </c>
      <c r="M204" s="172">
        <f t="shared" si="44"/>
        <v>0</v>
      </c>
      <c r="N204" s="172">
        <f t="shared" si="44"/>
        <v>3350</v>
      </c>
      <c r="O204" s="178"/>
      <c r="P204" s="92"/>
    </row>
    <row r="205" spans="1:16" ht="31.5" customHeight="1" x14ac:dyDescent="0.2">
      <c r="A205" s="42"/>
      <c r="B205" s="168" t="s">
        <v>74</v>
      </c>
      <c r="C205" s="169" t="s">
        <v>470</v>
      </c>
      <c r="D205" s="170" t="s">
        <v>42</v>
      </c>
      <c r="E205" s="171"/>
      <c r="F205" s="172">
        <v>3350</v>
      </c>
      <c r="G205" s="172"/>
      <c r="H205" s="172">
        <f>SUM(F205)+G205</f>
        <v>3350</v>
      </c>
      <c r="I205" s="188"/>
      <c r="J205" s="189"/>
      <c r="K205" s="188"/>
      <c r="L205" s="172">
        <f t="shared" si="44"/>
        <v>3350</v>
      </c>
      <c r="M205" s="172">
        <f t="shared" si="44"/>
        <v>0</v>
      </c>
      <c r="N205" s="172">
        <f t="shared" si="44"/>
        <v>3350</v>
      </c>
      <c r="O205" s="178"/>
      <c r="P205" s="92"/>
    </row>
    <row r="206" spans="1:16" ht="49.5" customHeight="1" x14ac:dyDescent="0.2">
      <c r="A206" s="42"/>
      <c r="B206" s="204" t="s">
        <v>214</v>
      </c>
      <c r="C206" s="169" t="s">
        <v>215</v>
      </c>
      <c r="D206" s="170"/>
      <c r="E206" s="171"/>
      <c r="F206" s="172">
        <f>SUM(F207)</f>
        <v>6916.8</v>
      </c>
      <c r="G206" s="172">
        <f>SUM(G207)</f>
        <v>0</v>
      </c>
      <c r="H206" s="172">
        <f>SUM(F206)+G206</f>
        <v>6916.8</v>
      </c>
      <c r="I206" s="188"/>
      <c r="J206" s="189"/>
      <c r="K206" s="188"/>
      <c r="L206" s="172">
        <f t="shared" si="44"/>
        <v>6916.8</v>
      </c>
      <c r="M206" s="172">
        <f t="shared" si="44"/>
        <v>0</v>
      </c>
      <c r="N206" s="172">
        <f t="shared" si="44"/>
        <v>6916.8</v>
      </c>
      <c r="O206" s="178"/>
      <c r="P206" s="92"/>
    </row>
    <row r="207" spans="1:16" ht="63" x14ac:dyDescent="0.2">
      <c r="A207" s="42"/>
      <c r="B207" s="205" t="s">
        <v>216</v>
      </c>
      <c r="C207" s="169" t="s">
        <v>217</v>
      </c>
      <c r="D207" s="170"/>
      <c r="E207" s="171"/>
      <c r="F207" s="172">
        <v>6916.8</v>
      </c>
      <c r="G207" s="172">
        <f>SUM(G208)</f>
        <v>0</v>
      </c>
      <c r="H207" s="172">
        <f>SUM(F207)+G207</f>
        <v>6916.8</v>
      </c>
      <c r="I207" s="188"/>
      <c r="J207" s="189"/>
      <c r="K207" s="188"/>
      <c r="L207" s="172">
        <f t="shared" si="44"/>
        <v>6916.8</v>
      </c>
      <c r="M207" s="172">
        <f t="shared" si="44"/>
        <v>0</v>
      </c>
      <c r="N207" s="172">
        <f t="shared" si="44"/>
        <v>6916.8</v>
      </c>
      <c r="O207" s="178"/>
      <c r="P207" s="92"/>
    </row>
    <row r="208" spans="1:16" ht="31.5" x14ac:dyDescent="0.2">
      <c r="A208" s="42"/>
      <c r="B208" s="168" t="s">
        <v>74</v>
      </c>
      <c r="C208" s="169" t="s">
        <v>217</v>
      </c>
      <c r="D208" s="170" t="s">
        <v>42</v>
      </c>
      <c r="E208" s="171"/>
      <c r="F208" s="172">
        <v>6916.8</v>
      </c>
      <c r="G208" s="172"/>
      <c r="H208" s="172">
        <f>SUM(F208)+G208</f>
        <v>6916.8</v>
      </c>
      <c r="I208" s="188"/>
      <c r="J208" s="189"/>
      <c r="K208" s="188"/>
      <c r="L208" s="172">
        <f t="shared" si="44"/>
        <v>6916.8</v>
      </c>
      <c r="M208" s="172">
        <f t="shared" si="44"/>
        <v>0</v>
      </c>
      <c r="N208" s="172">
        <f t="shared" si="44"/>
        <v>6916.8</v>
      </c>
      <c r="O208" s="178"/>
      <c r="P208" s="92"/>
    </row>
    <row r="209" spans="1:17" ht="29.25" customHeight="1" x14ac:dyDescent="0.2">
      <c r="A209" s="19" t="s">
        <v>218</v>
      </c>
      <c r="B209" s="182" t="s">
        <v>219</v>
      </c>
      <c r="C209" s="183" t="s">
        <v>220</v>
      </c>
      <c r="D209" s="184" t="s">
        <v>26</v>
      </c>
      <c r="E209" s="185"/>
      <c r="F209" s="186">
        <f>F220+F225+F234+F238+F214</f>
        <v>20371.5</v>
      </c>
      <c r="G209" s="186">
        <f>SUM(G215)+G234+G225+G238</f>
        <v>0</v>
      </c>
      <c r="H209" s="186">
        <f>H220+H225+H234+H238+H214+H210</f>
        <v>20371.5</v>
      </c>
      <c r="I209" s="187">
        <f>I220+I225+I234+I238+I214</f>
        <v>151494</v>
      </c>
      <c r="J209" s="186">
        <f>J220+J225+J234+J238+J214</f>
        <v>0</v>
      </c>
      <c r="K209" s="187">
        <f>K220+K225+K234+K238+K214</f>
        <v>151494</v>
      </c>
      <c r="L209" s="186">
        <f>SUM(F209+I209)</f>
        <v>171865.5</v>
      </c>
      <c r="M209" s="186">
        <f>SUM(G209+J209)</f>
        <v>0</v>
      </c>
      <c r="N209" s="186">
        <f>SUM(H209+K209)</f>
        <v>171865.5</v>
      </c>
      <c r="O209" s="178"/>
      <c r="P209" s="92"/>
      <c r="Q209" s="25"/>
    </row>
    <row r="210" spans="1:17" ht="18.75" hidden="1" x14ac:dyDescent="0.2">
      <c r="A210" s="19"/>
      <c r="B210" s="190" t="s">
        <v>177</v>
      </c>
      <c r="C210" s="169"/>
      <c r="D210" s="184"/>
      <c r="E210" s="185"/>
      <c r="F210" s="186"/>
      <c r="G210" s="172"/>
      <c r="H210" s="186">
        <f>SUM(G210)</f>
        <v>0</v>
      </c>
      <c r="I210" s="187"/>
      <c r="J210" s="172">
        <f>SUM(J211)</f>
        <v>0</v>
      </c>
      <c r="K210" s="187">
        <f t="shared" ref="K210:K217" si="45">SUM(J210)</f>
        <v>0</v>
      </c>
      <c r="L210" s="186"/>
      <c r="M210" s="186">
        <f>SUM(G210+J210)</f>
        <v>0</v>
      </c>
      <c r="N210" s="186">
        <f>SUM(H210+K210)</f>
        <v>0</v>
      </c>
      <c r="O210" s="178"/>
      <c r="P210" s="92"/>
      <c r="Q210" s="25"/>
    </row>
    <row r="211" spans="1:17" ht="47.25" hidden="1" x14ac:dyDescent="0.2">
      <c r="A211" s="19"/>
      <c r="B211" s="168" t="s">
        <v>179</v>
      </c>
      <c r="C211" s="169" t="s">
        <v>451</v>
      </c>
      <c r="D211" s="184" t="s">
        <v>26</v>
      </c>
      <c r="E211" s="185"/>
      <c r="F211" s="186"/>
      <c r="G211" s="172"/>
      <c r="H211" s="186">
        <f>SUM(G211)</f>
        <v>0</v>
      </c>
      <c r="I211" s="187"/>
      <c r="J211" s="172">
        <f>SUM(J212)</f>
        <v>0</v>
      </c>
      <c r="K211" s="187">
        <f t="shared" si="45"/>
        <v>0</v>
      </c>
      <c r="L211" s="186"/>
      <c r="M211" s="186">
        <f>SUM(J211)+G211</f>
        <v>0</v>
      </c>
      <c r="N211" s="186">
        <f>SUM(M211)</f>
        <v>0</v>
      </c>
      <c r="O211" s="178"/>
      <c r="P211" s="92"/>
      <c r="Q211" s="25"/>
    </row>
    <row r="212" spans="1:17" ht="31.5" hidden="1" x14ac:dyDescent="0.2">
      <c r="A212" s="19"/>
      <c r="B212" s="168" t="s">
        <v>193</v>
      </c>
      <c r="C212" s="169" t="s">
        <v>451</v>
      </c>
      <c r="D212" s="184"/>
      <c r="E212" s="185"/>
      <c r="F212" s="169"/>
      <c r="G212" s="172"/>
      <c r="H212" s="186">
        <f>SUM(G212)</f>
        <v>0</v>
      </c>
      <c r="I212" s="187"/>
      <c r="J212" s="172">
        <f>SUM(J213)</f>
        <v>0</v>
      </c>
      <c r="K212" s="187">
        <f t="shared" si="45"/>
        <v>0</v>
      </c>
      <c r="L212" s="186"/>
      <c r="M212" s="186">
        <f>SUM(J212)+G212</f>
        <v>0</v>
      </c>
      <c r="N212" s="186">
        <f>SUM(M212)</f>
        <v>0</v>
      </c>
      <c r="O212" s="178"/>
      <c r="P212" s="92"/>
      <c r="Q212" s="25"/>
    </row>
    <row r="213" spans="1:17" ht="31.5" hidden="1" x14ac:dyDescent="0.2">
      <c r="A213" s="19"/>
      <c r="B213" s="168" t="s">
        <v>35</v>
      </c>
      <c r="C213" s="169" t="s">
        <v>451</v>
      </c>
      <c r="D213" s="170" t="s">
        <v>36</v>
      </c>
      <c r="E213" s="185"/>
      <c r="F213" s="186"/>
      <c r="G213" s="172"/>
      <c r="H213" s="186">
        <f>SUM(G213)</f>
        <v>0</v>
      </c>
      <c r="I213" s="187"/>
      <c r="J213" s="172"/>
      <c r="K213" s="187">
        <f t="shared" si="45"/>
        <v>0</v>
      </c>
      <c r="L213" s="186"/>
      <c r="M213" s="186">
        <f>SUM(J213)+G213</f>
        <v>0</v>
      </c>
      <c r="N213" s="186">
        <f>SUM(M213)</f>
        <v>0</v>
      </c>
      <c r="O213" s="178"/>
      <c r="P213" s="92"/>
      <c r="Q213" s="25"/>
    </row>
    <row r="214" spans="1:17" ht="18.75" x14ac:dyDescent="0.2">
      <c r="A214" s="19"/>
      <c r="B214" s="190" t="s">
        <v>221</v>
      </c>
      <c r="C214" s="191" t="s">
        <v>222</v>
      </c>
      <c r="D214" s="192"/>
      <c r="E214" s="193"/>
      <c r="F214" s="172">
        <f>F215</f>
        <v>3623</v>
      </c>
      <c r="G214" s="172">
        <f>SUM(G215)</f>
        <v>0</v>
      </c>
      <c r="H214" s="172">
        <f t="shared" ref="H214:H219" si="46">SUM(F214)+G214</f>
        <v>3623</v>
      </c>
      <c r="I214" s="172">
        <f>SUM(I215)</f>
        <v>3300</v>
      </c>
      <c r="J214" s="172">
        <f>SUM(J215)</f>
        <v>0</v>
      </c>
      <c r="K214" s="172">
        <f>SUM(K215)</f>
        <v>3300</v>
      </c>
      <c r="L214" s="172">
        <f>SUM(F214)+I214</f>
        <v>6923</v>
      </c>
      <c r="M214" s="194">
        <f>SUM(M215)</f>
        <v>0</v>
      </c>
      <c r="N214" s="172">
        <f>SUM(L214+M214)</f>
        <v>6923</v>
      </c>
      <c r="O214" s="178"/>
      <c r="P214" s="92"/>
      <c r="Q214" s="25"/>
    </row>
    <row r="215" spans="1:17" ht="19.149999999999999" customHeight="1" x14ac:dyDescent="0.2">
      <c r="A215" s="19"/>
      <c r="B215" s="168" t="s">
        <v>223</v>
      </c>
      <c r="C215" s="169" t="s">
        <v>224</v>
      </c>
      <c r="D215" s="170"/>
      <c r="E215" s="171"/>
      <c r="F215" s="172">
        <f>1914.2+F218</f>
        <v>3623</v>
      </c>
      <c r="G215" s="172">
        <f>SUM(G216)+G218</f>
        <v>0</v>
      </c>
      <c r="H215" s="172">
        <f t="shared" si="46"/>
        <v>3623</v>
      </c>
      <c r="I215" s="172">
        <f>SUM(I216)+I218</f>
        <v>3300</v>
      </c>
      <c r="J215" s="172"/>
      <c r="K215" s="172">
        <f>SUM(K216)+K218</f>
        <v>3300</v>
      </c>
      <c r="L215" s="172">
        <f>SUM(F215)+I215</f>
        <v>6923</v>
      </c>
      <c r="M215" s="172">
        <f>SUM(G215+J215)</f>
        <v>0</v>
      </c>
      <c r="N215" s="172">
        <f>SUM(L215+M215)</f>
        <v>6923</v>
      </c>
      <c r="O215" s="178"/>
      <c r="P215" s="92"/>
      <c r="Q215" s="25"/>
    </row>
    <row r="216" spans="1:17" ht="18.75" x14ac:dyDescent="0.2">
      <c r="A216" s="19"/>
      <c r="B216" s="168" t="s">
        <v>67</v>
      </c>
      <c r="C216" s="169" t="s">
        <v>225</v>
      </c>
      <c r="D216" s="170"/>
      <c r="E216" s="171"/>
      <c r="F216" s="172">
        <v>1914.2</v>
      </c>
      <c r="G216" s="172">
        <f>SUM(G217)</f>
        <v>0</v>
      </c>
      <c r="H216" s="172">
        <f t="shared" si="46"/>
        <v>1914.2</v>
      </c>
      <c r="I216" s="188"/>
      <c r="J216" s="172">
        <f>SUM(J217)</f>
        <v>0</v>
      </c>
      <c r="K216" s="188">
        <f t="shared" si="45"/>
        <v>0</v>
      </c>
      <c r="L216" s="172">
        <f>SUM(F216)</f>
        <v>1914.2</v>
      </c>
      <c r="M216" s="172">
        <f>SUM(M217)</f>
        <v>0</v>
      </c>
      <c r="N216" s="172">
        <f>SUM(L216+M216)</f>
        <v>1914.2</v>
      </c>
      <c r="O216" s="178"/>
      <c r="P216" s="92"/>
      <c r="Q216" s="25"/>
    </row>
    <row r="217" spans="1:17" ht="31.5" x14ac:dyDescent="0.2">
      <c r="A217" s="19"/>
      <c r="B217" s="168" t="s">
        <v>35</v>
      </c>
      <c r="C217" s="169" t="s">
        <v>225</v>
      </c>
      <c r="D217" s="170" t="s">
        <v>36</v>
      </c>
      <c r="E217" s="171"/>
      <c r="F217" s="172">
        <v>1914.2</v>
      </c>
      <c r="G217" s="172"/>
      <c r="H217" s="172">
        <f t="shared" si="46"/>
        <v>1914.2</v>
      </c>
      <c r="I217" s="188"/>
      <c r="J217" s="189"/>
      <c r="K217" s="188">
        <f t="shared" si="45"/>
        <v>0</v>
      </c>
      <c r="L217" s="172">
        <f>SUM(F217)</f>
        <v>1914.2</v>
      </c>
      <c r="M217" s="172">
        <f>SUM(G217)+J217</f>
        <v>0</v>
      </c>
      <c r="N217" s="172">
        <f>SUM(H217+K217)</f>
        <v>1914.2</v>
      </c>
      <c r="O217" s="178"/>
      <c r="P217" s="92"/>
      <c r="Q217" s="25"/>
    </row>
    <row r="218" spans="1:17" ht="31.5" x14ac:dyDescent="0.2">
      <c r="A218" s="19"/>
      <c r="B218" s="168" t="s">
        <v>193</v>
      </c>
      <c r="C218" s="169" t="s">
        <v>451</v>
      </c>
      <c r="D218" s="170"/>
      <c r="E218" s="171"/>
      <c r="F218" s="172">
        <v>1708.8</v>
      </c>
      <c r="G218" s="172">
        <f>SUM(G219)</f>
        <v>0</v>
      </c>
      <c r="H218" s="172">
        <f t="shared" si="46"/>
        <v>1708.8</v>
      </c>
      <c r="I218" s="188">
        <v>3300</v>
      </c>
      <c r="J218" s="189"/>
      <c r="K218" s="188">
        <f>SUM(I218)</f>
        <v>3300</v>
      </c>
      <c r="L218" s="172">
        <f>SUM(F218+I218)</f>
        <v>5008.8</v>
      </c>
      <c r="M218" s="172">
        <f>SUM(G218)+J218</f>
        <v>0</v>
      </c>
      <c r="N218" s="172">
        <f>SUM(H218)+K218</f>
        <v>5008.8</v>
      </c>
      <c r="O218" s="178"/>
      <c r="P218" s="92"/>
      <c r="Q218" s="25"/>
    </row>
    <row r="219" spans="1:17" ht="31.5" x14ac:dyDescent="0.2">
      <c r="A219" s="19"/>
      <c r="B219" s="168" t="s">
        <v>35</v>
      </c>
      <c r="C219" s="169" t="s">
        <v>451</v>
      </c>
      <c r="D219" s="170" t="s">
        <v>36</v>
      </c>
      <c r="E219" s="171"/>
      <c r="F219" s="172">
        <v>1708.8</v>
      </c>
      <c r="G219" s="172"/>
      <c r="H219" s="172">
        <f t="shared" si="46"/>
        <v>1708.8</v>
      </c>
      <c r="I219" s="188">
        <v>3300</v>
      </c>
      <c r="J219" s="189"/>
      <c r="K219" s="188">
        <f>SUM(I219)</f>
        <v>3300</v>
      </c>
      <c r="L219" s="172">
        <f>SUM(F219+I219)</f>
        <v>5008.8</v>
      </c>
      <c r="M219" s="172">
        <f>SUM(G219)+J219</f>
        <v>0</v>
      </c>
      <c r="N219" s="172">
        <f>SUM(H219)+K219</f>
        <v>5008.8</v>
      </c>
      <c r="O219" s="178"/>
      <c r="P219" s="92"/>
      <c r="Q219" s="25"/>
    </row>
    <row r="220" spans="1:17" ht="31.5" x14ac:dyDescent="0.2">
      <c r="A220" s="49"/>
      <c r="B220" s="206" t="s">
        <v>226</v>
      </c>
      <c r="C220" s="207" t="s">
        <v>227</v>
      </c>
      <c r="D220" s="208" t="s">
        <v>26</v>
      </c>
      <c r="E220" s="209"/>
      <c r="F220" s="210">
        <f t="shared" ref="F220:N221" si="47">F221</f>
        <v>330</v>
      </c>
      <c r="G220" s="210">
        <f t="shared" si="47"/>
        <v>0</v>
      </c>
      <c r="H220" s="210">
        <f t="shared" si="47"/>
        <v>330</v>
      </c>
      <c r="I220" s="211">
        <f t="shared" si="47"/>
        <v>0</v>
      </c>
      <c r="J220" s="212"/>
      <c r="K220" s="211">
        <f t="shared" si="47"/>
        <v>0</v>
      </c>
      <c r="L220" s="210">
        <f t="shared" si="47"/>
        <v>330</v>
      </c>
      <c r="M220" s="210">
        <f t="shared" si="47"/>
        <v>0</v>
      </c>
      <c r="N220" s="210">
        <f t="shared" si="47"/>
        <v>330</v>
      </c>
      <c r="O220" s="178"/>
      <c r="P220" s="92"/>
    </row>
    <row r="221" spans="1:17" ht="31.5" x14ac:dyDescent="0.2">
      <c r="A221" s="42"/>
      <c r="B221" s="168" t="s">
        <v>228</v>
      </c>
      <c r="C221" s="169" t="s">
        <v>229</v>
      </c>
      <c r="D221" s="170" t="s">
        <v>26</v>
      </c>
      <c r="E221" s="171"/>
      <c r="F221" s="172">
        <f t="shared" si="47"/>
        <v>330</v>
      </c>
      <c r="G221" s="172">
        <f t="shared" si="47"/>
        <v>0</v>
      </c>
      <c r="H221" s="172">
        <f t="shared" si="47"/>
        <v>330</v>
      </c>
      <c r="I221" s="188">
        <f t="shared" si="47"/>
        <v>0</v>
      </c>
      <c r="J221" s="189"/>
      <c r="K221" s="188">
        <f t="shared" si="47"/>
        <v>0</v>
      </c>
      <c r="L221" s="172">
        <f t="shared" si="47"/>
        <v>330</v>
      </c>
      <c r="M221" s="172">
        <f t="shared" si="47"/>
        <v>0</v>
      </c>
      <c r="N221" s="172">
        <f t="shared" si="47"/>
        <v>330</v>
      </c>
      <c r="O221" s="178"/>
      <c r="P221" s="92"/>
    </row>
    <row r="222" spans="1:17" ht="31.5" x14ac:dyDescent="0.2">
      <c r="A222" s="42"/>
      <c r="B222" s="168" t="s">
        <v>226</v>
      </c>
      <c r="C222" s="169" t="s">
        <v>230</v>
      </c>
      <c r="D222" s="170" t="s">
        <v>26</v>
      </c>
      <c r="E222" s="171"/>
      <c r="F222" s="172">
        <f>F224+F223</f>
        <v>330</v>
      </c>
      <c r="G222" s="172">
        <f>G224+G223</f>
        <v>0</v>
      </c>
      <c r="H222" s="172">
        <f>H224+H223</f>
        <v>330</v>
      </c>
      <c r="I222" s="188">
        <f>I224+I223</f>
        <v>0</v>
      </c>
      <c r="J222" s="189"/>
      <c r="K222" s="188">
        <f>K224+K223</f>
        <v>0</v>
      </c>
      <c r="L222" s="172">
        <f>L224+L223</f>
        <v>330</v>
      </c>
      <c r="M222" s="172">
        <f>M224+M223</f>
        <v>0</v>
      </c>
      <c r="N222" s="172">
        <f>N224+N223</f>
        <v>330</v>
      </c>
      <c r="O222" s="178"/>
      <c r="P222" s="92"/>
    </row>
    <row r="223" spans="1:17" ht="31.5" x14ac:dyDescent="0.2">
      <c r="A223" s="42"/>
      <c r="B223" s="168" t="s">
        <v>35</v>
      </c>
      <c r="C223" s="169" t="s">
        <v>230</v>
      </c>
      <c r="D223" s="170" t="s">
        <v>36</v>
      </c>
      <c r="E223" s="171"/>
      <c r="F223" s="172">
        <v>200</v>
      </c>
      <c r="G223" s="172"/>
      <c r="H223" s="172">
        <v>200</v>
      </c>
      <c r="I223" s="188">
        <v>0</v>
      </c>
      <c r="J223" s="189"/>
      <c r="K223" s="188">
        <v>0</v>
      </c>
      <c r="L223" s="172">
        <v>200</v>
      </c>
      <c r="M223" s="172"/>
      <c r="N223" s="172">
        <v>200</v>
      </c>
      <c r="O223" s="178"/>
      <c r="P223" s="92"/>
    </row>
    <row r="224" spans="1:17" ht="18.75" x14ac:dyDescent="0.2">
      <c r="A224" s="42"/>
      <c r="B224" s="168" t="s">
        <v>41</v>
      </c>
      <c r="C224" s="169" t="s">
        <v>230</v>
      </c>
      <c r="D224" s="170" t="s">
        <v>42</v>
      </c>
      <c r="E224" s="171"/>
      <c r="F224" s="172">
        <v>130</v>
      </c>
      <c r="G224" s="172"/>
      <c r="H224" s="172">
        <v>130</v>
      </c>
      <c r="I224" s="188">
        <v>0</v>
      </c>
      <c r="J224" s="189"/>
      <c r="K224" s="188">
        <v>0</v>
      </c>
      <c r="L224" s="172">
        <v>130</v>
      </c>
      <c r="M224" s="172"/>
      <c r="N224" s="172">
        <v>130</v>
      </c>
      <c r="O224" s="178"/>
      <c r="P224" s="92"/>
    </row>
    <row r="225" spans="1:16" ht="22.15" customHeight="1" x14ac:dyDescent="0.2">
      <c r="A225" s="49"/>
      <c r="B225" s="190" t="s">
        <v>231</v>
      </c>
      <c r="C225" s="191" t="s">
        <v>232</v>
      </c>
      <c r="D225" s="192" t="s">
        <v>26</v>
      </c>
      <c r="E225" s="193"/>
      <c r="F225" s="194">
        <f t="shared" ref="F225:N226" si="48">F226</f>
        <v>4396.1000000000004</v>
      </c>
      <c r="G225" s="194">
        <f t="shared" si="48"/>
        <v>0</v>
      </c>
      <c r="H225" s="194">
        <f t="shared" si="48"/>
        <v>4396.1000000000004</v>
      </c>
      <c r="I225" s="195">
        <f t="shared" si="48"/>
        <v>0</v>
      </c>
      <c r="J225" s="194">
        <f t="shared" si="48"/>
        <v>0</v>
      </c>
      <c r="K225" s="195">
        <f t="shared" si="48"/>
        <v>0</v>
      </c>
      <c r="L225" s="194">
        <f t="shared" si="48"/>
        <v>4396.1000000000004</v>
      </c>
      <c r="M225" s="194">
        <f t="shared" si="48"/>
        <v>0</v>
      </c>
      <c r="N225" s="194">
        <f t="shared" si="48"/>
        <v>4396.1000000000004</v>
      </c>
      <c r="O225" s="178"/>
      <c r="P225" s="92"/>
    </row>
    <row r="226" spans="1:16" ht="34.9" customHeight="1" x14ac:dyDescent="0.2">
      <c r="A226" s="42"/>
      <c r="B226" s="168" t="s">
        <v>233</v>
      </c>
      <c r="C226" s="169" t="s">
        <v>234</v>
      </c>
      <c r="D226" s="170" t="s">
        <v>26</v>
      </c>
      <c r="E226" s="171"/>
      <c r="F226" s="172">
        <f t="shared" si="48"/>
        <v>4396.1000000000004</v>
      </c>
      <c r="G226" s="172">
        <f>G227+G232</f>
        <v>0</v>
      </c>
      <c r="H226" s="172">
        <f t="shared" si="48"/>
        <v>4396.1000000000004</v>
      </c>
      <c r="I226" s="188">
        <f t="shared" si="48"/>
        <v>0</v>
      </c>
      <c r="J226" s="189"/>
      <c r="K226" s="188">
        <f t="shared" si="48"/>
        <v>0</v>
      </c>
      <c r="L226" s="172">
        <f t="shared" si="48"/>
        <v>4396.1000000000004</v>
      </c>
      <c r="M226" s="172">
        <f>SUM(G226)</f>
        <v>0</v>
      </c>
      <c r="N226" s="172">
        <f>N227</f>
        <v>4396.1000000000004</v>
      </c>
      <c r="O226" s="178"/>
      <c r="P226" s="92"/>
    </row>
    <row r="227" spans="1:16" ht="31.5" x14ac:dyDescent="0.2">
      <c r="A227" s="42"/>
      <c r="B227" s="168" t="s">
        <v>39</v>
      </c>
      <c r="C227" s="169" t="s">
        <v>235</v>
      </c>
      <c r="D227" s="170" t="s">
        <v>26</v>
      </c>
      <c r="E227" s="171"/>
      <c r="F227" s="172">
        <f>F228+F229</f>
        <v>4396.1000000000004</v>
      </c>
      <c r="G227" s="172">
        <f>G228+G229</f>
        <v>0</v>
      </c>
      <c r="H227" s="172">
        <f>H228+H229</f>
        <v>4396.1000000000004</v>
      </c>
      <c r="I227" s="188">
        <f>I228+I229</f>
        <v>0</v>
      </c>
      <c r="J227" s="189"/>
      <c r="K227" s="188">
        <f>K228+K229</f>
        <v>0</v>
      </c>
      <c r="L227" s="172">
        <f>L228+L229</f>
        <v>4396.1000000000004</v>
      </c>
      <c r="M227" s="172">
        <f>M228+M229</f>
        <v>0</v>
      </c>
      <c r="N227" s="172">
        <f>N228+N229</f>
        <v>4396.1000000000004</v>
      </c>
      <c r="O227" s="178"/>
      <c r="P227" s="92"/>
    </row>
    <row r="228" spans="1:16" ht="66" customHeight="1" x14ac:dyDescent="0.2">
      <c r="A228" s="42"/>
      <c r="B228" s="168" t="s">
        <v>31</v>
      </c>
      <c r="C228" s="169" t="s">
        <v>235</v>
      </c>
      <c r="D228" s="170" t="s">
        <v>32</v>
      </c>
      <c r="E228" s="171"/>
      <c r="F228" s="172">
        <v>4250.6000000000004</v>
      </c>
      <c r="G228" s="172"/>
      <c r="H228" s="172">
        <f>SUM(F228)</f>
        <v>4250.6000000000004</v>
      </c>
      <c r="I228" s="188">
        <v>0</v>
      </c>
      <c r="J228" s="189"/>
      <c r="K228" s="188">
        <v>0</v>
      </c>
      <c r="L228" s="172">
        <f>SUM(F228)</f>
        <v>4250.6000000000004</v>
      </c>
      <c r="M228" s="172">
        <f>SUM(G228)</f>
        <v>0</v>
      </c>
      <c r="N228" s="172">
        <f>SUM(H228)</f>
        <v>4250.6000000000004</v>
      </c>
      <c r="O228" s="178"/>
      <c r="P228" s="92"/>
    </row>
    <row r="229" spans="1:16" ht="30.75" customHeight="1" x14ac:dyDescent="0.2">
      <c r="A229" s="42"/>
      <c r="B229" s="168" t="s">
        <v>35</v>
      </c>
      <c r="C229" s="169" t="s">
        <v>235</v>
      </c>
      <c r="D229" s="170" t="s">
        <v>36</v>
      </c>
      <c r="E229" s="171"/>
      <c r="F229" s="172">
        <v>145.5</v>
      </c>
      <c r="G229" s="172"/>
      <c r="H229" s="172">
        <v>145.5</v>
      </c>
      <c r="I229" s="188">
        <v>0</v>
      </c>
      <c r="J229" s="189"/>
      <c r="K229" s="188">
        <v>0</v>
      </c>
      <c r="L229" s="172">
        <v>145.5</v>
      </c>
      <c r="M229" s="172"/>
      <c r="N229" s="172">
        <v>145.5</v>
      </c>
      <c r="O229" s="178"/>
      <c r="P229" s="92"/>
    </row>
    <row r="230" spans="1:16" ht="18.75" hidden="1" x14ac:dyDescent="0.2">
      <c r="A230" s="42"/>
      <c r="B230" s="168"/>
      <c r="C230" s="169"/>
      <c r="D230" s="170"/>
      <c r="E230" s="171"/>
      <c r="F230" s="172"/>
      <c r="G230" s="172"/>
      <c r="H230" s="172"/>
      <c r="I230" s="188"/>
      <c r="J230" s="189"/>
      <c r="K230" s="188"/>
      <c r="L230" s="172"/>
      <c r="M230" s="172"/>
      <c r="N230" s="172"/>
      <c r="O230" s="178"/>
      <c r="P230" s="92"/>
    </row>
    <row r="231" spans="1:16" ht="18.75" hidden="1" x14ac:dyDescent="0.2">
      <c r="A231" s="42"/>
      <c r="B231" s="168"/>
      <c r="C231" s="169" t="s">
        <v>457</v>
      </c>
      <c r="D231" s="170"/>
      <c r="E231" s="171"/>
      <c r="F231" s="172"/>
      <c r="G231" s="172"/>
      <c r="H231" s="172"/>
      <c r="I231" s="188"/>
      <c r="J231" s="189"/>
      <c r="K231" s="188"/>
      <c r="L231" s="172"/>
      <c r="M231" s="172"/>
      <c r="N231" s="172"/>
      <c r="O231" s="178"/>
      <c r="P231" s="92"/>
    </row>
    <row r="232" spans="1:16" ht="47.25" hidden="1" x14ac:dyDescent="0.2">
      <c r="A232" s="42"/>
      <c r="B232" s="168" t="s">
        <v>458</v>
      </c>
      <c r="C232" s="169" t="s">
        <v>457</v>
      </c>
      <c r="D232" s="170"/>
      <c r="E232" s="171"/>
      <c r="F232" s="172"/>
      <c r="G232" s="172">
        <f>SUM(G233)</f>
        <v>0</v>
      </c>
      <c r="H232" s="172"/>
      <c r="I232" s="188"/>
      <c r="J232" s="189"/>
      <c r="K232" s="188"/>
      <c r="L232" s="172"/>
      <c r="M232" s="172">
        <f>SUM(G232)</f>
        <v>0</v>
      </c>
      <c r="N232" s="172">
        <f>SUM(H232)</f>
        <v>0</v>
      </c>
      <c r="O232" s="178"/>
      <c r="P232" s="92"/>
    </row>
    <row r="233" spans="1:16" ht="18.75" hidden="1" x14ac:dyDescent="0.2">
      <c r="A233" s="42"/>
      <c r="B233" s="168" t="s">
        <v>278</v>
      </c>
      <c r="C233" s="169" t="s">
        <v>457</v>
      </c>
      <c r="D233" s="170" t="s">
        <v>279</v>
      </c>
      <c r="E233" s="171"/>
      <c r="F233" s="172"/>
      <c r="G233" s="172"/>
      <c r="H233" s="172">
        <f>SUM(G233)</f>
        <v>0</v>
      </c>
      <c r="I233" s="188"/>
      <c r="J233" s="189"/>
      <c r="K233" s="188"/>
      <c r="L233" s="172"/>
      <c r="M233" s="172">
        <f>SUM(G233)</f>
        <v>0</v>
      </c>
      <c r="N233" s="172">
        <f>SUM(H233)</f>
        <v>0</v>
      </c>
      <c r="O233" s="178"/>
      <c r="P233" s="92"/>
    </row>
    <row r="234" spans="1:16" ht="48.6" customHeight="1" x14ac:dyDescent="0.2">
      <c r="A234" s="49"/>
      <c r="B234" s="190" t="s">
        <v>236</v>
      </c>
      <c r="C234" s="191" t="s">
        <v>237</v>
      </c>
      <c r="D234" s="192" t="s">
        <v>26</v>
      </c>
      <c r="E234" s="193"/>
      <c r="F234" s="194">
        <f t="shared" ref="F234:N236" si="49">F235</f>
        <v>800</v>
      </c>
      <c r="G234" s="194">
        <f t="shared" si="49"/>
        <v>0</v>
      </c>
      <c r="H234" s="194">
        <f t="shared" si="49"/>
        <v>800</v>
      </c>
      <c r="I234" s="195">
        <f t="shared" si="49"/>
        <v>0</v>
      </c>
      <c r="J234" s="194">
        <f>J235</f>
        <v>0</v>
      </c>
      <c r="K234" s="195">
        <f t="shared" si="49"/>
        <v>0</v>
      </c>
      <c r="L234" s="194">
        <f t="shared" si="49"/>
        <v>800</v>
      </c>
      <c r="M234" s="194">
        <f t="shared" si="49"/>
        <v>0</v>
      </c>
      <c r="N234" s="194">
        <f t="shared" si="49"/>
        <v>800</v>
      </c>
      <c r="O234" s="178"/>
      <c r="P234" s="92"/>
    </row>
    <row r="235" spans="1:16" ht="33.6" customHeight="1" x14ac:dyDescent="0.2">
      <c r="A235" s="42"/>
      <c r="B235" s="168" t="s">
        <v>238</v>
      </c>
      <c r="C235" s="169" t="s">
        <v>239</v>
      </c>
      <c r="D235" s="170" t="s">
        <v>26</v>
      </c>
      <c r="E235" s="171"/>
      <c r="F235" s="172">
        <f t="shared" si="49"/>
        <v>800</v>
      </c>
      <c r="G235" s="172">
        <f t="shared" si="49"/>
        <v>0</v>
      </c>
      <c r="H235" s="172">
        <f t="shared" si="49"/>
        <v>800</v>
      </c>
      <c r="I235" s="188">
        <f t="shared" si="49"/>
        <v>0</v>
      </c>
      <c r="J235" s="189"/>
      <c r="K235" s="188">
        <f t="shared" si="49"/>
        <v>0</v>
      </c>
      <c r="L235" s="172">
        <f t="shared" si="49"/>
        <v>800</v>
      </c>
      <c r="M235" s="172">
        <f t="shared" si="49"/>
        <v>0</v>
      </c>
      <c r="N235" s="172">
        <f t="shared" si="49"/>
        <v>800</v>
      </c>
      <c r="O235" s="178"/>
      <c r="P235" s="92"/>
    </row>
    <row r="236" spans="1:16" ht="18.75" x14ac:dyDescent="0.2">
      <c r="A236" s="42"/>
      <c r="B236" s="168" t="s">
        <v>240</v>
      </c>
      <c r="C236" s="169" t="s">
        <v>241</v>
      </c>
      <c r="D236" s="170" t="s">
        <v>26</v>
      </c>
      <c r="E236" s="171"/>
      <c r="F236" s="172">
        <f t="shared" si="49"/>
        <v>800</v>
      </c>
      <c r="G236" s="172">
        <f t="shared" si="49"/>
        <v>0</v>
      </c>
      <c r="H236" s="172">
        <f t="shared" si="49"/>
        <v>800</v>
      </c>
      <c r="I236" s="188">
        <f t="shared" si="49"/>
        <v>0</v>
      </c>
      <c r="J236" s="189"/>
      <c r="K236" s="188">
        <f t="shared" si="49"/>
        <v>0</v>
      </c>
      <c r="L236" s="172">
        <f t="shared" si="49"/>
        <v>800</v>
      </c>
      <c r="M236" s="172">
        <f t="shared" si="49"/>
        <v>0</v>
      </c>
      <c r="N236" s="172">
        <f t="shared" si="49"/>
        <v>800</v>
      </c>
      <c r="O236" s="178"/>
      <c r="P236" s="92"/>
    </row>
    <row r="237" spans="1:16" ht="31.5" x14ac:dyDescent="0.2">
      <c r="A237" s="42"/>
      <c r="B237" s="168" t="s">
        <v>35</v>
      </c>
      <c r="C237" s="169" t="s">
        <v>241</v>
      </c>
      <c r="D237" s="170" t="s">
        <v>36</v>
      </c>
      <c r="E237" s="171"/>
      <c r="F237" s="172">
        <v>800</v>
      </c>
      <c r="G237" s="172"/>
      <c r="H237" s="172">
        <v>800</v>
      </c>
      <c r="I237" s="188">
        <v>0</v>
      </c>
      <c r="J237" s="189"/>
      <c r="K237" s="188">
        <v>0</v>
      </c>
      <c r="L237" s="172">
        <f>SUM(F237)</f>
        <v>800</v>
      </c>
      <c r="M237" s="172">
        <f>SUM(G237)</f>
        <v>0</v>
      </c>
      <c r="N237" s="172">
        <f>SUM(H237)</f>
        <v>800</v>
      </c>
      <c r="O237" s="178"/>
      <c r="P237" s="92"/>
    </row>
    <row r="238" spans="1:16" ht="18.75" x14ac:dyDescent="0.2">
      <c r="A238" s="49"/>
      <c r="B238" s="190" t="s">
        <v>140</v>
      </c>
      <c r="C238" s="191" t="s">
        <v>242</v>
      </c>
      <c r="D238" s="192" t="s">
        <v>26</v>
      </c>
      <c r="E238" s="193"/>
      <c r="F238" s="194">
        <f t="shared" ref="F238:N240" si="50">F239</f>
        <v>11222.4</v>
      </c>
      <c r="G238" s="194">
        <f t="shared" si="50"/>
        <v>0</v>
      </c>
      <c r="H238" s="194">
        <f t="shared" si="50"/>
        <v>11222.4</v>
      </c>
      <c r="I238" s="195">
        <f t="shared" si="50"/>
        <v>148194</v>
      </c>
      <c r="J238" s="194">
        <f>J239</f>
        <v>0</v>
      </c>
      <c r="K238" s="195">
        <f t="shared" si="50"/>
        <v>148194</v>
      </c>
      <c r="L238" s="194">
        <f t="shared" si="50"/>
        <v>159416.4</v>
      </c>
      <c r="M238" s="194">
        <f t="shared" si="50"/>
        <v>0</v>
      </c>
      <c r="N238" s="194">
        <f t="shared" si="50"/>
        <v>159416.4</v>
      </c>
      <c r="O238" s="178"/>
      <c r="P238" s="92"/>
    </row>
    <row r="239" spans="1:16" ht="31.5" x14ac:dyDescent="0.2">
      <c r="A239" s="42"/>
      <c r="B239" s="168" t="s">
        <v>243</v>
      </c>
      <c r="C239" s="169" t="s">
        <v>244</v>
      </c>
      <c r="D239" s="170" t="s">
        <v>26</v>
      </c>
      <c r="E239" s="171"/>
      <c r="F239" s="172">
        <f>F240+F242</f>
        <v>11222.4</v>
      </c>
      <c r="G239" s="172">
        <f>G240+G242</f>
        <v>0</v>
      </c>
      <c r="H239" s="172">
        <f>H240+H242</f>
        <v>11222.4</v>
      </c>
      <c r="I239" s="188">
        <f t="shared" si="50"/>
        <v>148194</v>
      </c>
      <c r="J239" s="189"/>
      <c r="K239" s="188">
        <f t="shared" si="50"/>
        <v>148194</v>
      </c>
      <c r="L239" s="172">
        <f>L240+L242</f>
        <v>159416.4</v>
      </c>
      <c r="M239" s="172">
        <f>M240+M242</f>
        <v>0</v>
      </c>
      <c r="N239" s="172">
        <f>N240+N242</f>
        <v>159416.4</v>
      </c>
      <c r="O239" s="178"/>
      <c r="P239" s="92"/>
    </row>
    <row r="240" spans="1:16" ht="97.15" customHeight="1" x14ac:dyDescent="0.2">
      <c r="A240" s="42"/>
      <c r="B240" s="168" t="s">
        <v>478</v>
      </c>
      <c r="C240" s="169" t="s">
        <v>246</v>
      </c>
      <c r="D240" s="170" t="s">
        <v>26</v>
      </c>
      <c r="E240" s="171"/>
      <c r="F240" s="172">
        <f t="shared" si="50"/>
        <v>7799.8</v>
      </c>
      <c r="G240" s="172">
        <f t="shared" si="50"/>
        <v>0</v>
      </c>
      <c r="H240" s="172">
        <f t="shared" si="50"/>
        <v>7799.8</v>
      </c>
      <c r="I240" s="188">
        <f t="shared" si="50"/>
        <v>148194</v>
      </c>
      <c r="J240" s="189"/>
      <c r="K240" s="188">
        <f t="shared" si="50"/>
        <v>148194</v>
      </c>
      <c r="L240" s="172">
        <f t="shared" si="50"/>
        <v>155993.79999999999</v>
      </c>
      <c r="M240" s="172">
        <f t="shared" si="50"/>
        <v>0</v>
      </c>
      <c r="N240" s="172">
        <f t="shared" si="50"/>
        <v>155993.79999999999</v>
      </c>
      <c r="O240" s="178"/>
      <c r="P240" s="92"/>
    </row>
    <row r="241" spans="1:17" ht="31.5" x14ac:dyDescent="0.2">
      <c r="A241" s="42"/>
      <c r="B241" s="168" t="s">
        <v>131</v>
      </c>
      <c r="C241" s="169" t="s">
        <v>246</v>
      </c>
      <c r="D241" s="170" t="s">
        <v>132</v>
      </c>
      <c r="E241" s="171"/>
      <c r="F241" s="172">
        <v>7799.8</v>
      </c>
      <c r="G241" s="172"/>
      <c r="H241" s="172">
        <f>SUM(F241)</f>
        <v>7799.8</v>
      </c>
      <c r="I241" s="188">
        <v>148194</v>
      </c>
      <c r="J241" s="189"/>
      <c r="K241" s="188">
        <f>SUM(I241)</f>
        <v>148194</v>
      </c>
      <c r="L241" s="172">
        <f>SUM(F241+I241)</f>
        <v>155993.79999999999</v>
      </c>
      <c r="M241" s="172">
        <f>SUM(G241)+J241</f>
        <v>0</v>
      </c>
      <c r="N241" s="172">
        <f>SUM(H241+K241)</f>
        <v>155993.79999999999</v>
      </c>
      <c r="O241" s="178"/>
      <c r="P241" s="92"/>
    </row>
    <row r="242" spans="1:17" ht="78.75" x14ac:dyDescent="0.2">
      <c r="A242" s="42"/>
      <c r="B242" s="198" t="s">
        <v>479</v>
      </c>
      <c r="C242" s="169" t="s">
        <v>461</v>
      </c>
      <c r="D242" s="170"/>
      <c r="E242" s="171"/>
      <c r="F242" s="172">
        <v>3422.6</v>
      </c>
      <c r="G242" s="172">
        <f>G243</f>
        <v>0</v>
      </c>
      <c r="H242" s="172">
        <f>SUM(F242:G242)</f>
        <v>3422.6</v>
      </c>
      <c r="I242" s="188"/>
      <c r="J242" s="189"/>
      <c r="K242" s="188"/>
      <c r="L242" s="172">
        <f>L243</f>
        <v>3422.6</v>
      </c>
      <c r="M242" s="172">
        <f>M243</f>
        <v>0</v>
      </c>
      <c r="N242" s="172">
        <f>N243</f>
        <v>3422.6</v>
      </c>
      <c r="O242" s="178"/>
      <c r="P242" s="92"/>
    </row>
    <row r="243" spans="1:17" ht="31.5" x14ac:dyDescent="0.2">
      <c r="A243" s="42"/>
      <c r="B243" s="168" t="s">
        <v>131</v>
      </c>
      <c r="C243" s="169" t="s">
        <v>461</v>
      </c>
      <c r="D243" s="170" t="s">
        <v>132</v>
      </c>
      <c r="E243" s="171"/>
      <c r="F243" s="172">
        <v>3422.6</v>
      </c>
      <c r="G243" s="172"/>
      <c r="H243" s="172">
        <f>SUM(F243:G243)</f>
        <v>3422.6</v>
      </c>
      <c r="I243" s="188"/>
      <c r="J243" s="189"/>
      <c r="K243" s="188"/>
      <c r="L243" s="172">
        <f>SUM(F243)</f>
        <v>3422.6</v>
      </c>
      <c r="M243" s="172">
        <f>SUM(G243)</f>
        <v>0</v>
      </c>
      <c r="N243" s="172">
        <f>SUM(L243:M243)</f>
        <v>3422.6</v>
      </c>
      <c r="O243" s="178"/>
      <c r="P243" s="92"/>
    </row>
    <row r="244" spans="1:17" ht="31.5" x14ac:dyDescent="0.2">
      <c r="A244" s="19" t="s">
        <v>247</v>
      </c>
      <c r="B244" s="182" t="s">
        <v>248</v>
      </c>
      <c r="C244" s="183" t="s">
        <v>249</v>
      </c>
      <c r="D244" s="184" t="s">
        <v>26</v>
      </c>
      <c r="E244" s="185"/>
      <c r="F244" s="186">
        <f t="shared" ref="F244:N244" si="51">F245+F249</f>
        <v>5586</v>
      </c>
      <c r="G244" s="186">
        <f t="shared" si="51"/>
        <v>0</v>
      </c>
      <c r="H244" s="186">
        <f t="shared" si="51"/>
        <v>5586</v>
      </c>
      <c r="I244" s="187">
        <f t="shared" si="51"/>
        <v>0</v>
      </c>
      <c r="J244" s="186">
        <f t="shared" si="51"/>
        <v>0</v>
      </c>
      <c r="K244" s="187">
        <f t="shared" si="51"/>
        <v>0</v>
      </c>
      <c r="L244" s="186">
        <f t="shared" si="51"/>
        <v>5586</v>
      </c>
      <c r="M244" s="186">
        <f t="shared" si="51"/>
        <v>0</v>
      </c>
      <c r="N244" s="186">
        <f t="shared" si="51"/>
        <v>5586</v>
      </c>
      <c r="O244" s="178"/>
      <c r="P244" s="92"/>
    </row>
    <row r="245" spans="1:17" ht="18.75" x14ac:dyDescent="0.2">
      <c r="A245" s="49"/>
      <c r="B245" s="190" t="s">
        <v>250</v>
      </c>
      <c r="C245" s="191" t="s">
        <v>251</v>
      </c>
      <c r="D245" s="192" t="s">
        <v>26</v>
      </c>
      <c r="E245" s="193"/>
      <c r="F245" s="194">
        <f t="shared" ref="F245:N247" si="52">F246</f>
        <v>3500</v>
      </c>
      <c r="G245" s="194">
        <f t="shared" si="52"/>
        <v>0</v>
      </c>
      <c r="H245" s="194">
        <f t="shared" si="52"/>
        <v>3500</v>
      </c>
      <c r="I245" s="195">
        <f t="shared" si="52"/>
        <v>0</v>
      </c>
      <c r="J245" s="194">
        <f>J246</f>
        <v>0</v>
      </c>
      <c r="K245" s="195">
        <f t="shared" si="52"/>
        <v>0</v>
      </c>
      <c r="L245" s="194">
        <f t="shared" si="52"/>
        <v>3500</v>
      </c>
      <c r="M245" s="194">
        <f t="shared" si="52"/>
        <v>0</v>
      </c>
      <c r="N245" s="194">
        <f t="shared" si="52"/>
        <v>3500</v>
      </c>
      <c r="O245" s="178"/>
      <c r="P245" s="92"/>
    </row>
    <row r="246" spans="1:17" ht="31.5" x14ac:dyDescent="0.2">
      <c r="A246" s="42"/>
      <c r="B246" s="168" t="s">
        <v>252</v>
      </c>
      <c r="C246" s="169" t="s">
        <v>253</v>
      </c>
      <c r="D246" s="170" t="s">
        <v>26</v>
      </c>
      <c r="E246" s="171"/>
      <c r="F246" s="172">
        <f t="shared" si="52"/>
        <v>3500</v>
      </c>
      <c r="G246" s="172">
        <f t="shared" si="52"/>
        <v>0</v>
      </c>
      <c r="H246" s="172">
        <f t="shared" si="52"/>
        <v>3500</v>
      </c>
      <c r="I246" s="188">
        <f t="shared" si="52"/>
        <v>0</v>
      </c>
      <c r="J246" s="189"/>
      <c r="K246" s="188">
        <f t="shared" si="52"/>
        <v>0</v>
      </c>
      <c r="L246" s="172">
        <f t="shared" si="52"/>
        <v>3500</v>
      </c>
      <c r="M246" s="172">
        <f t="shared" si="52"/>
        <v>0</v>
      </c>
      <c r="N246" s="172">
        <f t="shared" si="52"/>
        <v>3500</v>
      </c>
      <c r="O246" s="178"/>
      <c r="P246" s="92"/>
    </row>
    <row r="247" spans="1:17" ht="31.5" x14ac:dyDescent="0.2">
      <c r="A247" s="42"/>
      <c r="B247" s="168" t="s">
        <v>254</v>
      </c>
      <c r="C247" s="169" t="s">
        <v>255</v>
      </c>
      <c r="D247" s="170" t="s">
        <v>26</v>
      </c>
      <c r="E247" s="171"/>
      <c r="F247" s="172">
        <f t="shared" si="52"/>
        <v>3500</v>
      </c>
      <c r="G247" s="172">
        <f t="shared" si="52"/>
        <v>0</v>
      </c>
      <c r="H247" s="172">
        <f t="shared" si="52"/>
        <v>3500</v>
      </c>
      <c r="I247" s="188">
        <f t="shared" si="52"/>
        <v>0</v>
      </c>
      <c r="J247" s="189"/>
      <c r="K247" s="188">
        <f t="shared" si="52"/>
        <v>0</v>
      </c>
      <c r="L247" s="172">
        <f t="shared" si="52"/>
        <v>3500</v>
      </c>
      <c r="M247" s="172">
        <f t="shared" si="52"/>
        <v>0</v>
      </c>
      <c r="N247" s="172">
        <f t="shared" si="52"/>
        <v>3500</v>
      </c>
      <c r="O247" s="178"/>
      <c r="P247" s="92"/>
    </row>
    <row r="248" spans="1:17" ht="31.5" x14ac:dyDescent="0.2">
      <c r="A248" s="42"/>
      <c r="B248" s="168" t="s">
        <v>35</v>
      </c>
      <c r="C248" s="169" t="s">
        <v>255</v>
      </c>
      <c r="D248" s="170" t="s">
        <v>36</v>
      </c>
      <c r="E248" s="171"/>
      <c r="F248" s="172">
        <v>3500</v>
      </c>
      <c r="G248" s="172"/>
      <c r="H248" s="172">
        <v>3500</v>
      </c>
      <c r="I248" s="188">
        <v>0</v>
      </c>
      <c r="J248" s="189"/>
      <c r="K248" s="188">
        <v>0</v>
      </c>
      <c r="L248" s="172">
        <v>3500</v>
      </c>
      <c r="M248" s="172"/>
      <c r="N248" s="172">
        <v>3500</v>
      </c>
      <c r="O248" s="178"/>
      <c r="P248" s="92"/>
    </row>
    <row r="249" spans="1:17" ht="18.75" x14ac:dyDescent="0.2">
      <c r="A249" s="49"/>
      <c r="B249" s="190" t="s">
        <v>256</v>
      </c>
      <c r="C249" s="191" t="s">
        <v>257</v>
      </c>
      <c r="D249" s="192" t="s">
        <v>26</v>
      </c>
      <c r="E249" s="193"/>
      <c r="F249" s="194">
        <f t="shared" ref="F249:N251" si="53">F250</f>
        <v>2086</v>
      </c>
      <c r="G249" s="194">
        <f t="shared" si="53"/>
        <v>0</v>
      </c>
      <c r="H249" s="194">
        <f t="shared" si="53"/>
        <v>2086</v>
      </c>
      <c r="I249" s="195">
        <f t="shared" si="53"/>
        <v>0</v>
      </c>
      <c r="J249" s="194">
        <f>J250</f>
        <v>0</v>
      </c>
      <c r="K249" s="195">
        <f t="shared" si="53"/>
        <v>0</v>
      </c>
      <c r="L249" s="194">
        <f t="shared" si="53"/>
        <v>2086</v>
      </c>
      <c r="M249" s="194">
        <f t="shared" si="53"/>
        <v>0</v>
      </c>
      <c r="N249" s="194">
        <f t="shared" si="53"/>
        <v>2086</v>
      </c>
      <c r="O249" s="178"/>
      <c r="P249" s="92"/>
    </row>
    <row r="250" spans="1:17" ht="31.5" x14ac:dyDescent="0.2">
      <c r="A250" s="42"/>
      <c r="B250" s="168" t="s">
        <v>258</v>
      </c>
      <c r="C250" s="169" t="s">
        <v>259</v>
      </c>
      <c r="D250" s="170" t="s">
        <v>26</v>
      </c>
      <c r="E250" s="171"/>
      <c r="F250" s="172">
        <f t="shared" si="53"/>
        <v>2086</v>
      </c>
      <c r="G250" s="172">
        <f t="shared" si="53"/>
        <v>0</v>
      </c>
      <c r="H250" s="172">
        <f t="shared" si="53"/>
        <v>2086</v>
      </c>
      <c r="I250" s="188">
        <f t="shared" si="53"/>
        <v>0</v>
      </c>
      <c r="J250" s="189"/>
      <c r="K250" s="188">
        <f t="shared" si="53"/>
        <v>0</v>
      </c>
      <c r="L250" s="172">
        <f t="shared" si="53"/>
        <v>2086</v>
      </c>
      <c r="M250" s="172">
        <f t="shared" si="53"/>
        <v>0</v>
      </c>
      <c r="N250" s="172">
        <f t="shared" si="53"/>
        <v>2086</v>
      </c>
      <c r="O250" s="178"/>
      <c r="P250" s="92"/>
    </row>
    <row r="251" spans="1:17" ht="31.5" x14ac:dyDescent="0.2">
      <c r="A251" s="42"/>
      <c r="B251" s="168" t="s">
        <v>254</v>
      </c>
      <c r="C251" s="169" t="s">
        <v>260</v>
      </c>
      <c r="D251" s="170" t="s">
        <v>26</v>
      </c>
      <c r="E251" s="171"/>
      <c r="F251" s="172">
        <f t="shared" si="53"/>
        <v>2086</v>
      </c>
      <c r="G251" s="172">
        <f t="shared" si="53"/>
        <v>0</v>
      </c>
      <c r="H251" s="172">
        <f t="shared" si="53"/>
        <v>2086</v>
      </c>
      <c r="I251" s="188">
        <f t="shared" si="53"/>
        <v>0</v>
      </c>
      <c r="J251" s="189"/>
      <c r="K251" s="188">
        <f t="shared" si="53"/>
        <v>0</v>
      </c>
      <c r="L251" s="172">
        <f t="shared" si="53"/>
        <v>2086</v>
      </c>
      <c r="M251" s="172">
        <f t="shared" si="53"/>
        <v>0</v>
      </c>
      <c r="N251" s="172">
        <f t="shared" si="53"/>
        <v>2086</v>
      </c>
      <c r="O251" s="178"/>
      <c r="P251" s="92"/>
    </row>
    <row r="252" spans="1:17" ht="63" x14ac:dyDescent="0.2">
      <c r="A252" s="42"/>
      <c r="B252" s="168" t="s">
        <v>261</v>
      </c>
      <c r="C252" s="169" t="s">
        <v>260</v>
      </c>
      <c r="D252" s="170" t="s">
        <v>36</v>
      </c>
      <c r="E252" s="171"/>
      <c r="F252" s="172">
        <v>2086</v>
      </c>
      <c r="G252" s="172"/>
      <c r="H252" s="172">
        <f>SUM(F252)+G252</f>
        <v>2086</v>
      </c>
      <c r="I252" s="188">
        <v>0</v>
      </c>
      <c r="J252" s="189"/>
      <c r="K252" s="188">
        <v>0</v>
      </c>
      <c r="L252" s="172">
        <f>SUM(F252)</f>
        <v>2086</v>
      </c>
      <c r="M252" s="172">
        <f>SUM(G252)</f>
        <v>0</v>
      </c>
      <c r="N252" s="172">
        <f>SUM(H252)</f>
        <v>2086</v>
      </c>
      <c r="O252" s="178"/>
      <c r="P252" s="92"/>
    </row>
    <row r="253" spans="1:17" ht="31.5" x14ac:dyDescent="0.2">
      <c r="A253" s="19" t="s">
        <v>262</v>
      </c>
      <c r="B253" s="182" t="s">
        <v>263</v>
      </c>
      <c r="C253" s="183" t="s">
        <v>264</v>
      </c>
      <c r="D253" s="184" t="s">
        <v>26</v>
      </c>
      <c r="E253" s="185"/>
      <c r="F253" s="186">
        <f t="shared" ref="F253:N253" si="54">F254+F276+F280+F286+F290</f>
        <v>45707.600000000006</v>
      </c>
      <c r="G253" s="186">
        <f t="shared" si="54"/>
        <v>2843.3</v>
      </c>
      <c r="H253" s="186">
        <f t="shared" si="54"/>
        <v>48550.899999999994</v>
      </c>
      <c r="I253" s="187">
        <f t="shared" si="54"/>
        <v>0</v>
      </c>
      <c r="J253" s="186">
        <f t="shared" si="54"/>
        <v>0</v>
      </c>
      <c r="K253" s="187">
        <f t="shared" si="54"/>
        <v>0</v>
      </c>
      <c r="L253" s="186">
        <f t="shared" si="54"/>
        <v>45707.600000000006</v>
      </c>
      <c r="M253" s="186">
        <f t="shared" si="54"/>
        <v>2843.3</v>
      </c>
      <c r="N253" s="186">
        <f t="shared" si="54"/>
        <v>48550.899999999994</v>
      </c>
      <c r="O253" s="178"/>
      <c r="P253" s="92"/>
      <c r="Q253" s="25"/>
    </row>
    <row r="254" spans="1:17" ht="49.9" customHeight="1" x14ac:dyDescent="0.2">
      <c r="A254" s="49"/>
      <c r="B254" s="190" t="s">
        <v>265</v>
      </c>
      <c r="C254" s="191" t="s">
        <v>266</v>
      </c>
      <c r="D254" s="192" t="s">
        <v>26</v>
      </c>
      <c r="E254" s="193"/>
      <c r="F254" s="194">
        <f t="shared" ref="F254:N254" si="55">F255+F266+F269</f>
        <v>34679.4</v>
      </c>
      <c r="G254" s="194">
        <f t="shared" si="55"/>
        <v>2526.2000000000003</v>
      </c>
      <c r="H254" s="194">
        <f t="shared" si="55"/>
        <v>37205.599999999999</v>
      </c>
      <c r="I254" s="195">
        <f t="shared" si="55"/>
        <v>0</v>
      </c>
      <c r="J254" s="194">
        <f t="shared" si="55"/>
        <v>0</v>
      </c>
      <c r="K254" s="195">
        <f t="shared" si="55"/>
        <v>0</v>
      </c>
      <c r="L254" s="194">
        <f t="shared" si="55"/>
        <v>34679.4</v>
      </c>
      <c r="M254" s="194">
        <f t="shared" si="55"/>
        <v>2526.2000000000003</v>
      </c>
      <c r="N254" s="194">
        <f t="shared" si="55"/>
        <v>37205.599999999999</v>
      </c>
      <c r="O254" s="178"/>
      <c r="P254" s="92"/>
      <c r="Q254" s="55"/>
    </row>
    <row r="255" spans="1:17" ht="50.45" customHeight="1" x14ac:dyDescent="0.2">
      <c r="A255" s="42"/>
      <c r="B255" s="168" t="s">
        <v>267</v>
      </c>
      <c r="C255" s="169" t="s">
        <v>268</v>
      </c>
      <c r="D255" s="170" t="s">
        <v>26</v>
      </c>
      <c r="E255" s="171"/>
      <c r="F255" s="172">
        <f>F256+F260+F264+F262</f>
        <v>19578.7</v>
      </c>
      <c r="G255" s="172">
        <f>G256+G260+G264+G262</f>
        <v>700</v>
      </c>
      <c r="H255" s="172">
        <f>H256+H260+H264+H262</f>
        <v>20278.7</v>
      </c>
      <c r="I255" s="188">
        <f>I256+I260+I264</f>
        <v>0</v>
      </c>
      <c r="J255" s="189"/>
      <c r="K255" s="188">
        <f>K256+K260+K264</f>
        <v>0</v>
      </c>
      <c r="L255" s="172">
        <f>L256+L260+L264+L262</f>
        <v>19578.7</v>
      </c>
      <c r="M255" s="172">
        <f>M256+M260+M264+M262</f>
        <v>700</v>
      </c>
      <c r="N255" s="172">
        <f>N256+N260+N264+N262</f>
        <v>20278.7</v>
      </c>
      <c r="O255" s="178"/>
      <c r="P255" s="92"/>
      <c r="Q255" s="48"/>
    </row>
    <row r="256" spans="1:17" ht="31.5" x14ac:dyDescent="0.2">
      <c r="A256" s="42"/>
      <c r="B256" s="168" t="s">
        <v>39</v>
      </c>
      <c r="C256" s="169" t="s">
        <v>269</v>
      </c>
      <c r="D256" s="170" t="s">
        <v>26</v>
      </c>
      <c r="E256" s="171"/>
      <c r="F256" s="172">
        <f>F257+F258+F259</f>
        <v>11968.5</v>
      </c>
      <c r="G256" s="172">
        <f>SUM(G258)+G257</f>
        <v>0</v>
      </c>
      <c r="H256" s="172">
        <f>H257+H258+H259</f>
        <v>11968.5</v>
      </c>
      <c r="I256" s="188">
        <f>I257+I258+I259</f>
        <v>0</v>
      </c>
      <c r="J256" s="189"/>
      <c r="K256" s="188">
        <f>K257+K258+K259</f>
        <v>0</v>
      </c>
      <c r="L256" s="172">
        <f>L257+L258+L259</f>
        <v>11968.5</v>
      </c>
      <c r="M256" s="172">
        <f>SUM(G256)</f>
        <v>0</v>
      </c>
      <c r="N256" s="172">
        <f>N257+N258+N259</f>
        <v>11968.5</v>
      </c>
      <c r="O256" s="178"/>
      <c r="P256" s="92"/>
    </row>
    <row r="257" spans="1:16" ht="64.900000000000006" customHeight="1" x14ac:dyDescent="0.2">
      <c r="A257" s="42"/>
      <c r="B257" s="168" t="s">
        <v>31</v>
      </c>
      <c r="C257" s="169" t="s">
        <v>269</v>
      </c>
      <c r="D257" s="170" t="s">
        <v>32</v>
      </c>
      <c r="E257" s="171"/>
      <c r="F257" s="172">
        <v>10420.200000000001</v>
      </c>
      <c r="G257" s="172"/>
      <c r="H257" s="172">
        <f>SUM(F257)</f>
        <v>10420.200000000001</v>
      </c>
      <c r="I257" s="188">
        <v>0</v>
      </c>
      <c r="J257" s="189"/>
      <c r="K257" s="188">
        <v>0</v>
      </c>
      <c r="L257" s="172">
        <f t="shared" ref="L257:N258" si="56">SUM(F257)</f>
        <v>10420.200000000001</v>
      </c>
      <c r="M257" s="172">
        <f t="shared" si="56"/>
        <v>0</v>
      </c>
      <c r="N257" s="172">
        <f t="shared" si="56"/>
        <v>10420.200000000001</v>
      </c>
      <c r="O257" s="178"/>
      <c r="P257" s="92"/>
    </row>
    <row r="258" spans="1:16" ht="31.5" x14ac:dyDescent="0.2">
      <c r="A258" s="42"/>
      <c r="B258" s="168" t="s">
        <v>35</v>
      </c>
      <c r="C258" s="169" t="s">
        <v>269</v>
      </c>
      <c r="D258" s="170" t="s">
        <v>36</v>
      </c>
      <c r="E258" s="171"/>
      <c r="F258" s="172">
        <v>1525.3</v>
      </c>
      <c r="G258" s="172"/>
      <c r="H258" s="172">
        <v>1525.3</v>
      </c>
      <c r="I258" s="188">
        <v>0</v>
      </c>
      <c r="J258" s="189"/>
      <c r="K258" s="188">
        <v>0</v>
      </c>
      <c r="L258" s="172">
        <f t="shared" si="56"/>
        <v>1525.3</v>
      </c>
      <c r="M258" s="172">
        <f t="shared" si="56"/>
        <v>0</v>
      </c>
      <c r="N258" s="172">
        <f t="shared" si="56"/>
        <v>1525.3</v>
      </c>
      <c r="O258" s="178"/>
      <c r="P258" s="92"/>
    </row>
    <row r="259" spans="1:16" ht="18.75" x14ac:dyDescent="0.2">
      <c r="A259" s="42"/>
      <c r="B259" s="168" t="s">
        <v>41</v>
      </c>
      <c r="C259" s="169" t="s">
        <v>269</v>
      </c>
      <c r="D259" s="170" t="s">
        <v>42</v>
      </c>
      <c r="E259" s="171"/>
      <c r="F259" s="172">
        <v>23</v>
      </c>
      <c r="G259" s="172"/>
      <c r="H259" s="172">
        <v>23</v>
      </c>
      <c r="I259" s="188">
        <v>0</v>
      </c>
      <c r="J259" s="189"/>
      <c r="K259" s="188">
        <v>0</v>
      </c>
      <c r="L259" s="172">
        <v>23</v>
      </c>
      <c r="M259" s="172"/>
      <c r="N259" s="172">
        <v>23</v>
      </c>
      <c r="O259" s="178"/>
      <c r="P259" s="92"/>
    </row>
    <row r="260" spans="1:16" ht="48.6" customHeight="1" x14ac:dyDescent="0.2">
      <c r="A260" s="42"/>
      <c r="B260" s="168" t="s">
        <v>270</v>
      </c>
      <c r="C260" s="169" t="s">
        <v>271</v>
      </c>
      <c r="D260" s="170" t="s">
        <v>26</v>
      </c>
      <c r="E260" s="171"/>
      <c r="F260" s="172">
        <f>F261</f>
        <v>5410.2</v>
      </c>
      <c r="G260" s="172">
        <f>G261</f>
        <v>700</v>
      </c>
      <c r="H260" s="172">
        <f>H261</f>
        <v>6110.2</v>
      </c>
      <c r="I260" s="188">
        <f>I261</f>
        <v>0</v>
      </c>
      <c r="J260" s="189"/>
      <c r="K260" s="188">
        <f>K261</f>
        <v>0</v>
      </c>
      <c r="L260" s="172">
        <f>L261</f>
        <v>5410.2</v>
      </c>
      <c r="M260" s="172">
        <f>M261</f>
        <v>700</v>
      </c>
      <c r="N260" s="172">
        <f>N261</f>
        <v>6110.2</v>
      </c>
      <c r="O260" s="178"/>
      <c r="P260" s="92"/>
    </row>
    <row r="261" spans="1:16" ht="31.5" x14ac:dyDescent="0.2">
      <c r="A261" s="42"/>
      <c r="B261" s="168" t="s">
        <v>35</v>
      </c>
      <c r="C261" s="169" t="s">
        <v>271</v>
      </c>
      <c r="D261" s="170" t="s">
        <v>36</v>
      </c>
      <c r="E261" s="171"/>
      <c r="F261" s="172">
        <v>5410.2</v>
      </c>
      <c r="G261" s="172">
        <v>700</v>
      </c>
      <c r="H261" s="172">
        <f>SUM(F261)+G261</f>
        <v>6110.2</v>
      </c>
      <c r="I261" s="188">
        <v>0</v>
      </c>
      <c r="J261" s="189"/>
      <c r="K261" s="188">
        <v>0</v>
      </c>
      <c r="L261" s="172">
        <f t="shared" ref="L261:N263" si="57">SUM(F261)</f>
        <v>5410.2</v>
      </c>
      <c r="M261" s="172">
        <f t="shared" si="57"/>
        <v>700</v>
      </c>
      <c r="N261" s="172">
        <f t="shared" si="57"/>
        <v>6110.2</v>
      </c>
      <c r="O261" s="178"/>
      <c r="P261" s="92"/>
    </row>
    <row r="262" spans="1:16" ht="28.5" customHeight="1" x14ac:dyDescent="0.2">
      <c r="A262" s="42"/>
      <c r="B262" s="213" t="s">
        <v>456</v>
      </c>
      <c r="C262" s="169" t="s">
        <v>455</v>
      </c>
      <c r="D262" s="170"/>
      <c r="E262" s="171"/>
      <c r="F262" s="172">
        <v>1200</v>
      </c>
      <c r="G262" s="172"/>
      <c r="H262" s="172">
        <v>1200</v>
      </c>
      <c r="I262" s="188"/>
      <c r="J262" s="189"/>
      <c r="K262" s="188"/>
      <c r="L262" s="172">
        <f t="shared" si="57"/>
        <v>1200</v>
      </c>
      <c r="M262" s="172">
        <f t="shared" si="57"/>
        <v>0</v>
      </c>
      <c r="N262" s="172">
        <f t="shared" si="57"/>
        <v>1200</v>
      </c>
      <c r="O262" s="178"/>
      <c r="P262" s="92"/>
    </row>
    <row r="263" spans="1:16" ht="31.5" x14ac:dyDescent="0.2">
      <c r="A263" s="42"/>
      <c r="B263" s="168" t="s">
        <v>35</v>
      </c>
      <c r="C263" s="169" t="s">
        <v>455</v>
      </c>
      <c r="D263" s="170" t="s">
        <v>36</v>
      </c>
      <c r="E263" s="171"/>
      <c r="F263" s="172">
        <v>1200</v>
      </c>
      <c r="G263" s="172"/>
      <c r="H263" s="172">
        <v>1200</v>
      </c>
      <c r="I263" s="188"/>
      <c r="J263" s="189"/>
      <c r="K263" s="188"/>
      <c r="L263" s="172">
        <f t="shared" si="57"/>
        <v>1200</v>
      </c>
      <c r="M263" s="172">
        <f t="shared" si="57"/>
        <v>0</v>
      </c>
      <c r="N263" s="172">
        <f t="shared" si="57"/>
        <v>1200</v>
      </c>
      <c r="O263" s="178"/>
      <c r="P263" s="92"/>
    </row>
    <row r="264" spans="1:16" ht="47.25" x14ac:dyDescent="0.2">
      <c r="A264" s="42"/>
      <c r="B264" s="168" t="s">
        <v>272</v>
      </c>
      <c r="C264" s="169" t="s">
        <v>273</v>
      </c>
      <c r="D264" s="170" t="s">
        <v>26</v>
      </c>
      <c r="E264" s="171"/>
      <c r="F264" s="172">
        <f>F265</f>
        <v>1000</v>
      </c>
      <c r="G264" s="172">
        <f>G265</f>
        <v>0</v>
      </c>
      <c r="H264" s="172">
        <f>H265</f>
        <v>1000</v>
      </c>
      <c r="I264" s="188">
        <f>I265</f>
        <v>0</v>
      </c>
      <c r="J264" s="189"/>
      <c r="K264" s="188">
        <f>K265</f>
        <v>0</v>
      </c>
      <c r="L264" s="172">
        <f>L265</f>
        <v>1000</v>
      </c>
      <c r="M264" s="172">
        <f>M265</f>
        <v>0</v>
      </c>
      <c r="N264" s="172">
        <f>N265</f>
        <v>1000</v>
      </c>
      <c r="O264" s="178"/>
      <c r="P264" s="92"/>
    </row>
    <row r="265" spans="1:16" ht="31.5" x14ac:dyDescent="0.2">
      <c r="A265" s="42"/>
      <c r="B265" s="168" t="s">
        <v>35</v>
      </c>
      <c r="C265" s="169" t="s">
        <v>273</v>
      </c>
      <c r="D265" s="170" t="s">
        <v>36</v>
      </c>
      <c r="E265" s="171"/>
      <c r="F265" s="172">
        <v>1000</v>
      </c>
      <c r="G265" s="172"/>
      <c r="H265" s="172">
        <v>1000</v>
      </c>
      <c r="I265" s="188">
        <v>0</v>
      </c>
      <c r="J265" s="189"/>
      <c r="K265" s="188">
        <v>0</v>
      </c>
      <c r="L265" s="172">
        <v>1000</v>
      </c>
      <c r="M265" s="172"/>
      <c r="N265" s="172">
        <v>1000</v>
      </c>
      <c r="O265" s="178"/>
      <c r="P265" s="92"/>
    </row>
    <row r="266" spans="1:16" ht="31.5" x14ac:dyDescent="0.2">
      <c r="A266" s="42"/>
      <c r="B266" s="168" t="s">
        <v>274</v>
      </c>
      <c r="C266" s="169" t="s">
        <v>275</v>
      </c>
      <c r="D266" s="170" t="s">
        <v>26</v>
      </c>
      <c r="E266" s="171"/>
      <c r="F266" s="172">
        <f t="shared" ref="F266:N267" si="58">F267</f>
        <v>13584.1</v>
      </c>
      <c r="G266" s="172">
        <f t="shared" si="58"/>
        <v>1694.4</v>
      </c>
      <c r="H266" s="172">
        <f t="shared" si="58"/>
        <v>15278.5</v>
      </c>
      <c r="I266" s="188">
        <f t="shared" si="58"/>
        <v>0</v>
      </c>
      <c r="J266" s="189"/>
      <c r="K266" s="188">
        <f t="shared" si="58"/>
        <v>0</v>
      </c>
      <c r="L266" s="172">
        <f t="shared" si="58"/>
        <v>13584.1</v>
      </c>
      <c r="M266" s="172">
        <f t="shared" si="58"/>
        <v>1694.4</v>
      </c>
      <c r="N266" s="172">
        <f t="shared" si="58"/>
        <v>15278.5</v>
      </c>
      <c r="O266" s="178"/>
      <c r="P266" s="92"/>
    </row>
    <row r="267" spans="1:16" ht="78.75" x14ac:dyDescent="0.2">
      <c r="A267" s="42"/>
      <c r="B267" s="168" t="s">
        <v>276</v>
      </c>
      <c r="C267" s="169" t="s">
        <v>277</v>
      </c>
      <c r="D267" s="170" t="s">
        <v>26</v>
      </c>
      <c r="E267" s="171"/>
      <c r="F267" s="172">
        <f t="shared" si="58"/>
        <v>13584.1</v>
      </c>
      <c r="G267" s="172">
        <f t="shared" si="58"/>
        <v>1694.4</v>
      </c>
      <c r="H267" s="172">
        <f t="shared" si="58"/>
        <v>15278.5</v>
      </c>
      <c r="I267" s="188">
        <f t="shared" si="58"/>
        <v>0</v>
      </c>
      <c r="J267" s="189"/>
      <c r="K267" s="188">
        <f t="shared" si="58"/>
        <v>0</v>
      </c>
      <c r="L267" s="172">
        <f t="shared" si="58"/>
        <v>13584.1</v>
      </c>
      <c r="M267" s="172">
        <f t="shared" si="58"/>
        <v>1694.4</v>
      </c>
      <c r="N267" s="172">
        <f t="shared" si="58"/>
        <v>15278.5</v>
      </c>
      <c r="O267" s="178"/>
      <c r="P267" s="92"/>
    </row>
    <row r="268" spans="1:16" ht="18.75" x14ac:dyDescent="0.2">
      <c r="A268" s="42"/>
      <c r="B268" s="168" t="s">
        <v>278</v>
      </c>
      <c r="C268" s="169" t="s">
        <v>277</v>
      </c>
      <c r="D268" s="170" t="s">
        <v>279</v>
      </c>
      <c r="E268" s="171"/>
      <c r="F268" s="172">
        <f>13584.2-0.1</f>
        <v>13584.1</v>
      </c>
      <c r="G268" s="172">
        <v>1694.4</v>
      </c>
      <c r="H268" s="172">
        <f>13584.2-0.1+G268</f>
        <v>15278.5</v>
      </c>
      <c r="I268" s="188">
        <v>0</v>
      </c>
      <c r="J268" s="189"/>
      <c r="K268" s="188">
        <v>0</v>
      </c>
      <c r="L268" s="172">
        <f>13584.2-0.1</f>
        <v>13584.1</v>
      </c>
      <c r="M268" s="172">
        <f>SUM(G268)</f>
        <v>1694.4</v>
      </c>
      <c r="N268" s="172">
        <f>13584.2-0.1+M268</f>
        <v>15278.5</v>
      </c>
      <c r="O268" s="178"/>
      <c r="P268" s="92"/>
    </row>
    <row r="269" spans="1:16" ht="47.25" x14ac:dyDescent="0.2">
      <c r="A269" s="42"/>
      <c r="B269" s="168" t="s">
        <v>280</v>
      </c>
      <c r="C269" s="169" t="s">
        <v>281</v>
      </c>
      <c r="D269" s="170" t="s">
        <v>26</v>
      </c>
      <c r="E269" s="171"/>
      <c r="F269" s="172">
        <f t="shared" ref="F269:N270" si="59">F270</f>
        <v>1516.6000000000001</v>
      </c>
      <c r="G269" s="172">
        <f t="shared" si="59"/>
        <v>131.80000000000001</v>
      </c>
      <c r="H269" s="172">
        <f t="shared" si="59"/>
        <v>1648.4</v>
      </c>
      <c r="I269" s="188">
        <f t="shared" si="59"/>
        <v>0</v>
      </c>
      <c r="J269" s="189"/>
      <c r="K269" s="188">
        <f t="shared" si="59"/>
        <v>0</v>
      </c>
      <c r="L269" s="172">
        <f t="shared" si="59"/>
        <v>1516.6000000000001</v>
      </c>
      <c r="M269" s="172">
        <f t="shared" si="59"/>
        <v>131.80000000000001</v>
      </c>
      <c r="N269" s="172">
        <f t="shared" si="59"/>
        <v>1648.4</v>
      </c>
      <c r="O269" s="178"/>
      <c r="P269" s="92"/>
    </row>
    <row r="270" spans="1:16" ht="67.900000000000006" customHeight="1" x14ac:dyDescent="0.2">
      <c r="A270" s="42"/>
      <c r="B270" s="168" t="s">
        <v>282</v>
      </c>
      <c r="C270" s="169" t="s">
        <v>283</v>
      </c>
      <c r="D270" s="170" t="s">
        <v>26</v>
      </c>
      <c r="E270" s="171"/>
      <c r="F270" s="172">
        <f t="shared" si="59"/>
        <v>1516.6000000000001</v>
      </c>
      <c r="G270" s="172">
        <f t="shared" si="59"/>
        <v>131.80000000000001</v>
      </c>
      <c r="H270" s="172">
        <f t="shared" si="59"/>
        <v>1648.4</v>
      </c>
      <c r="I270" s="188">
        <f t="shared" si="59"/>
        <v>0</v>
      </c>
      <c r="J270" s="189"/>
      <c r="K270" s="188">
        <f t="shared" si="59"/>
        <v>0</v>
      </c>
      <c r="L270" s="172">
        <f t="shared" si="59"/>
        <v>1516.6000000000001</v>
      </c>
      <c r="M270" s="172">
        <f t="shared" si="59"/>
        <v>131.80000000000001</v>
      </c>
      <c r="N270" s="172">
        <f t="shared" si="59"/>
        <v>1648.4</v>
      </c>
      <c r="O270" s="178"/>
      <c r="P270" s="92"/>
    </row>
    <row r="271" spans="1:16" ht="18.75" x14ac:dyDescent="0.2">
      <c r="A271" s="42"/>
      <c r="B271" s="168" t="s">
        <v>278</v>
      </c>
      <c r="C271" s="169" t="s">
        <v>283</v>
      </c>
      <c r="D271" s="170" t="s">
        <v>279</v>
      </c>
      <c r="E271" s="171"/>
      <c r="F271" s="172">
        <f>1516.7-0.1</f>
        <v>1516.6000000000001</v>
      </c>
      <c r="G271" s="172">
        <v>131.80000000000001</v>
      </c>
      <c r="H271" s="172">
        <f>1516.7-0.1+G271</f>
        <v>1648.4</v>
      </c>
      <c r="I271" s="188">
        <v>0</v>
      </c>
      <c r="J271" s="189"/>
      <c r="K271" s="188">
        <v>0</v>
      </c>
      <c r="L271" s="172">
        <f>1516.7-0.1</f>
        <v>1516.6000000000001</v>
      </c>
      <c r="M271" s="172">
        <f>SUM(G271)</f>
        <v>131.80000000000001</v>
      </c>
      <c r="N271" s="172">
        <f>1516.7-0.1+M271</f>
        <v>1648.4</v>
      </c>
      <c r="O271" s="178"/>
      <c r="P271" s="92"/>
    </row>
    <row r="272" spans="1:16" ht="0.75" customHeight="1" x14ac:dyDescent="0.2">
      <c r="A272" s="42"/>
      <c r="B272" s="168" t="s">
        <v>448</v>
      </c>
      <c r="C272" s="169" t="s">
        <v>422</v>
      </c>
      <c r="D272" s="170"/>
      <c r="E272" s="171"/>
      <c r="F272" s="172"/>
      <c r="G272" s="172"/>
      <c r="H272" s="172">
        <f>SUM(G272)</f>
        <v>0</v>
      </c>
      <c r="I272" s="188"/>
      <c r="J272" s="189"/>
      <c r="K272" s="188"/>
      <c r="L272" s="172"/>
      <c r="M272" s="172">
        <f t="shared" ref="M272:N275" si="60">SUM(G272)</f>
        <v>0</v>
      </c>
      <c r="N272" s="172">
        <f t="shared" si="60"/>
        <v>0</v>
      </c>
      <c r="O272" s="178"/>
      <c r="P272" s="92"/>
    </row>
    <row r="273" spans="1:16" ht="18.75" hidden="1" x14ac:dyDescent="0.2">
      <c r="A273" s="42"/>
      <c r="B273" s="168" t="s">
        <v>432</v>
      </c>
      <c r="C273" s="169" t="s">
        <v>433</v>
      </c>
      <c r="D273" s="170"/>
      <c r="E273" s="171"/>
      <c r="F273" s="172"/>
      <c r="G273" s="172"/>
      <c r="H273" s="172">
        <f>SUM(G273)</f>
        <v>0</v>
      </c>
      <c r="I273" s="188"/>
      <c r="J273" s="189"/>
      <c r="K273" s="188"/>
      <c r="L273" s="172"/>
      <c r="M273" s="172">
        <f t="shared" si="60"/>
        <v>0</v>
      </c>
      <c r="N273" s="172">
        <f t="shared" si="60"/>
        <v>0</v>
      </c>
      <c r="O273" s="178"/>
      <c r="P273" s="92"/>
    </row>
    <row r="274" spans="1:16" ht="31.5" hidden="1" x14ac:dyDescent="0.2">
      <c r="A274" s="42"/>
      <c r="B274" s="168" t="s">
        <v>434</v>
      </c>
      <c r="C274" s="169" t="s">
        <v>435</v>
      </c>
      <c r="D274" s="170"/>
      <c r="E274" s="171"/>
      <c r="F274" s="172"/>
      <c r="G274" s="172"/>
      <c r="H274" s="172">
        <f>SUM(G274)</f>
        <v>0</v>
      </c>
      <c r="I274" s="188"/>
      <c r="J274" s="189"/>
      <c r="K274" s="188"/>
      <c r="L274" s="172"/>
      <c r="M274" s="172">
        <f t="shared" si="60"/>
        <v>0</v>
      </c>
      <c r="N274" s="172">
        <f t="shared" si="60"/>
        <v>0</v>
      </c>
      <c r="O274" s="178"/>
      <c r="P274" s="92"/>
    </row>
    <row r="275" spans="1:16" ht="31.5" hidden="1" x14ac:dyDescent="0.2">
      <c r="A275" s="42"/>
      <c r="B275" s="168" t="s">
        <v>35</v>
      </c>
      <c r="C275" s="169" t="s">
        <v>435</v>
      </c>
      <c r="D275" s="170" t="s">
        <v>36</v>
      </c>
      <c r="E275" s="171"/>
      <c r="F275" s="172"/>
      <c r="G275" s="172"/>
      <c r="H275" s="172">
        <f>SUM(G275)</f>
        <v>0</v>
      </c>
      <c r="I275" s="188"/>
      <c r="J275" s="189"/>
      <c r="K275" s="188"/>
      <c r="L275" s="172"/>
      <c r="M275" s="172">
        <f t="shared" si="60"/>
        <v>0</v>
      </c>
      <c r="N275" s="172">
        <f t="shared" si="60"/>
        <v>0</v>
      </c>
      <c r="O275" s="178"/>
      <c r="P275" s="92"/>
    </row>
    <row r="276" spans="1:16" ht="18.75" x14ac:dyDescent="0.2">
      <c r="A276" s="49"/>
      <c r="B276" s="190" t="s">
        <v>284</v>
      </c>
      <c r="C276" s="191" t="s">
        <v>285</v>
      </c>
      <c r="D276" s="192" t="s">
        <v>26</v>
      </c>
      <c r="E276" s="193"/>
      <c r="F276" s="194">
        <f t="shared" ref="F276:N278" si="61">F277</f>
        <v>394.4</v>
      </c>
      <c r="G276" s="194">
        <f t="shared" si="61"/>
        <v>0</v>
      </c>
      <c r="H276" s="194">
        <f t="shared" si="61"/>
        <v>394.4</v>
      </c>
      <c r="I276" s="195">
        <f t="shared" si="61"/>
        <v>0</v>
      </c>
      <c r="J276" s="196"/>
      <c r="K276" s="195">
        <f t="shared" si="61"/>
        <v>0</v>
      </c>
      <c r="L276" s="194">
        <f t="shared" si="61"/>
        <v>394.4</v>
      </c>
      <c r="M276" s="194">
        <f t="shared" si="61"/>
        <v>0</v>
      </c>
      <c r="N276" s="194">
        <f t="shared" si="61"/>
        <v>394.4</v>
      </c>
      <c r="O276" s="178"/>
      <c r="P276" s="92"/>
    </row>
    <row r="277" spans="1:16" ht="31.5" x14ac:dyDescent="0.2">
      <c r="A277" s="42"/>
      <c r="B277" s="168" t="s">
        <v>286</v>
      </c>
      <c r="C277" s="169" t="s">
        <v>287</v>
      </c>
      <c r="D277" s="170" t="s">
        <v>26</v>
      </c>
      <c r="E277" s="171"/>
      <c r="F277" s="172">
        <f t="shared" si="61"/>
        <v>394.4</v>
      </c>
      <c r="G277" s="172">
        <f t="shared" si="61"/>
        <v>0</v>
      </c>
      <c r="H277" s="172">
        <f t="shared" si="61"/>
        <v>394.4</v>
      </c>
      <c r="I277" s="188">
        <f t="shared" si="61"/>
        <v>0</v>
      </c>
      <c r="J277" s="189"/>
      <c r="K277" s="188">
        <f t="shared" si="61"/>
        <v>0</v>
      </c>
      <c r="L277" s="172">
        <f t="shared" si="61"/>
        <v>394.4</v>
      </c>
      <c r="M277" s="172">
        <f t="shared" si="61"/>
        <v>0</v>
      </c>
      <c r="N277" s="172">
        <f t="shared" si="61"/>
        <v>394.4</v>
      </c>
      <c r="O277" s="178"/>
      <c r="P277" s="92"/>
    </row>
    <row r="278" spans="1:16" ht="18.75" x14ac:dyDescent="0.2">
      <c r="A278" s="42"/>
      <c r="B278" s="168" t="s">
        <v>288</v>
      </c>
      <c r="C278" s="169" t="s">
        <v>289</v>
      </c>
      <c r="D278" s="170" t="s">
        <v>26</v>
      </c>
      <c r="E278" s="171"/>
      <c r="F278" s="172">
        <f t="shared" si="61"/>
        <v>394.4</v>
      </c>
      <c r="G278" s="172">
        <f t="shared" si="61"/>
        <v>0</v>
      </c>
      <c r="H278" s="172">
        <f t="shared" si="61"/>
        <v>394.4</v>
      </c>
      <c r="I278" s="188">
        <f t="shared" si="61"/>
        <v>0</v>
      </c>
      <c r="J278" s="189"/>
      <c r="K278" s="188">
        <f t="shared" si="61"/>
        <v>0</v>
      </c>
      <c r="L278" s="172">
        <f t="shared" si="61"/>
        <v>394.4</v>
      </c>
      <c r="M278" s="172">
        <f t="shared" si="61"/>
        <v>0</v>
      </c>
      <c r="N278" s="172">
        <f t="shared" si="61"/>
        <v>394.4</v>
      </c>
      <c r="O278" s="178"/>
      <c r="P278" s="92"/>
    </row>
    <row r="279" spans="1:16" ht="31.5" x14ac:dyDescent="0.2">
      <c r="A279" s="42"/>
      <c r="B279" s="168" t="s">
        <v>35</v>
      </c>
      <c r="C279" s="169" t="s">
        <v>289</v>
      </c>
      <c r="D279" s="170" t="s">
        <v>36</v>
      </c>
      <c r="E279" s="171"/>
      <c r="F279" s="172">
        <v>394.4</v>
      </c>
      <c r="G279" s="172"/>
      <c r="H279" s="172">
        <v>394.4</v>
      </c>
      <c r="I279" s="188">
        <v>0</v>
      </c>
      <c r="J279" s="189"/>
      <c r="K279" s="188">
        <v>0</v>
      </c>
      <c r="L279" s="172">
        <f>SUM(F279)</f>
        <v>394.4</v>
      </c>
      <c r="M279" s="172">
        <f>SUM(G279)</f>
        <v>0</v>
      </c>
      <c r="N279" s="172">
        <f>SUM(H279)</f>
        <v>394.4</v>
      </c>
      <c r="O279" s="178"/>
      <c r="P279" s="92"/>
    </row>
    <row r="280" spans="1:16" ht="24.6" customHeight="1" x14ac:dyDescent="0.2">
      <c r="A280" s="49"/>
      <c r="B280" s="190" t="s">
        <v>290</v>
      </c>
      <c r="C280" s="191" t="s">
        <v>291</v>
      </c>
      <c r="D280" s="192" t="s">
        <v>26</v>
      </c>
      <c r="E280" s="193"/>
      <c r="F280" s="194">
        <f>F281</f>
        <v>7152.3</v>
      </c>
      <c r="G280" s="194">
        <f>G281</f>
        <v>-90.600000000000023</v>
      </c>
      <c r="H280" s="194">
        <f>H281</f>
        <v>7061.7</v>
      </c>
      <c r="I280" s="195">
        <f>I281</f>
        <v>0</v>
      </c>
      <c r="J280" s="196"/>
      <c r="K280" s="195">
        <f>K281</f>
        <v>0</v>
      </c>
      <c r="L280" s="194">
        <f>L281</f>
        <v>7152.3</v>
      </c>
      <c r="M280" s="194">
        <f>M281</f>
        <v>-90.600000000000023</v>
      </c>
      <c r="N280" s="194">
        <f>N281</f>
        <v>7061.7</v>
      </c>
      <c r="O280" s="178"/>
      <c r="P280" s="92"/>
    </row>
    <row r="281" spans="1:16" ht="36.6" customHeight="1" x14ac:dyDescent="0.2">
      <c r="A281" s="42"/>
      <c r="B281" s="168" t="s">
        <v>292</v>
      </c>
      <c r="C281" s="169" t="s">
        <v>293</v>
      </c>
      <c r="D281" s="170" t="s">
        <v>26</v>
      </c>
      <c r="E281" s="171"/>
      <c r="F281" s="172">
        <f>F282+F284</f>
        <v>7152.3</v>
      </c>
      <c r="G281" s="172">
        <f>G282+G284</f>
        <v>-90.600000000000023</v>
      </c>
      <c r="H281" s="172">
        <f>H282+H284</f>
        <v>7061.7</v>
      </c>
      <c r="I281" s="188">
        <f>I282+I284</f>
        <v>0</v>
      </c>
      <c r="J281" s="189"/>
      <c r="K281" s="188">
        <f>K282+K284</f>
        <v>0</v>
      </c>
      <c r="L281" s="172">
        <f>L282+L284</f>
        <v>7152.3</v>
      </c>
      <c r="M281" s="172">
        <f>M282+M284</f>
        <v>-90.600000000000023</v>
      </c>
      <c r="N281" s="172">
        <f>N282+N284</f>
        <v>7061.7</v>
      </c>
      <c r="O281" s="178"/>
      <c r="P281" s="92"/>
    </row>
    <row r="282" spans="1:16" ht="22.15" customHeight="1" x14ac:dyDescent="0.2">
      <c r="A282" s="42"/>
      <c r="B282" s="168" t="s">
        <v>294</v>
      </c>
      <c r="C282" s="169" t="s">
        <v>295</v>
      </c>
      <c r="D282" s="170" t="s">
        <v>26</v>
      </c>
      <c r="E282" s="171"/>
      <c r="F282" s="172">
        <f>F283</f>
        <v>2087.5</v>
      </c>
      <c r="G282" s="172">
        <f>G283</f>
        <v>-567</v>
      </c>
      <c r="H282" s="172">
        <f>H283</f>
        <v>1520.5</v>
      </c>
      <c r="I282" s="188">
        <f>I283</f>
        <v>0</v>
      </c>
      <c r="J282" s="189"/>
      <c r="K282" s="188">
        <f>K283</f>
        <v>0</v>
      </c>
      <c r="L282" s="172">
        <f>L283</f>
        <v>2087.5</v>
      </c>
      <c r="M282" s="172">
        <f>M283</f>
        <v>-567</v>
      </c>
      <c r="N282" s="172">
        <f>N283</f>
        <v>1520.5</v>
      </c>
      <c r="O282" s="178"/>
      <c r="P282" s="92"/>
    </row>
    <row r="283" spans="1:16" ht="31.5" x14ac:dyDescent="0.2">
      <c r="A283" s="42"/>
      <c r="B283" s="168" t="s">
        <v>35</v>
      </c>
      <c r="C283" s="169" t="s">
        <v>295</v>
      </c>
      <c r="D283" s="170" t="s">
        <v>36</v>
      </c>
      <c r="E283" s="171"/>
      <c r="F283" s="172">
        <v>2087.5</v>
      </c>
      <c r="G283" s="172">
        <v>-567</v>
      </c>
      <c r="H283" s="172">
        <f>SUM(F283:G283)</f>
        <v>1520.5</v>
      </c>
      <c r="I283" s="188">
        <v>0</v>
      </c>
      <c r="J283" s="189"/>
      <c r="K283" s="188">
        <v>0</v>
      </c>
      <c r="L283" s="172">
        <f>SUM(F283)</f>
        <v>2087.5</v>
      </c>
      <c r="M283" s="172">
        <f>SUM(G283)</f>
        <v>-567</v>
      </c>
      <c r="N283" s="172">
        <f>SUM(H283)</f>
        <v>1520.5</v>
      </c>
      <c r="O283" s="178"/>
      <c r="P283" s="92"/>
    </row>
    <row r="284" spans="1:16" ht="52.15" customHeight="1" x14ac:dyDescent="0.2">
      <c r="A284" s="42"/>
      <c r="B284" s="168" t="s">
        <v>296</v>
      </c>
      <c r="C284" s="169" t="s">
        <v>297</v>
      </c>
      <c r="D284" s="170" t="s">
        <v>26</v>
      </c>
      <c r="E284" s="171"/>
      <c r="F284" s="172">
        <f>F285</f>
        <v>5064.8</v>
      </c>
      <c r="G284" s="172">
        <f>G285</f>
        <v>476.4</v>
      </c>
      <c r="H284" s="172">
        <f>H285</f>
        <v>5541.2</v>
      </c>
      <c r="I284" s="188">
        <f>I285</f>
        <v>0</v>
      </c>
      <c r="J284" s="189"/>
      <c r="K284" s="188">
        <f>K285</f>
        <v>0</v>
      </c>
      <c r="L284" s="172">
        <f>L285</f>
        <v>5064.8</v>
      </c>
      <c r="M284" s="172">
        <f>M285</f>
        <v>476.4</v>
      </c>
      <c r="N284" s="172">
        <f>N285</f>
        <v>5541.2</v>
      </c>
      <c r="O284" s="178"/>
      <c r="P284" s="92"/>
    </row>
    <row r="285" spans="1:16" ht="18.75" x14ac:dyDescent="0.2">
      <c r="A285" s="42"/>
      <c r="B285" s="168" t="s">
        <v>278</v>
      </c>
      <c r="C285" s="169" t="s">
        <v>297</v>
      </c>
      <c r="D285" s="170" t="s">
        <v>279</v>
      </c>
      <c r="E285" s="171"/>
      <c r="F285" s="172">
        <v>5064.8</v>
      </c>
      <c r="G285" s="172">
        <v>476.4</v>
      </c>
      <c r="H285" s="172">
        <f>5064.8+G285</f>
        <v>5541.2</v>
      </c>
      <c r="I285" s="188">
        <v>0</v>
      </c>
      <c r="J285" s="189"/>
      <c r="K285" s="188">
        <v>0</v>
      </c>
      <c r="L285" s="172">
        <f>SUM(F285)</f>
        <v>5064.8</v>
      </c>
      <c r="M285" s="172">
        <f>SUM(G285)</f>
        <v>476.4</v>
      </c>
      <c r="N285" s="172">
        <f>SUM(H285)</f>
        <v>5541.2</v>
      </c>
      <c r="O285" s="178"/>
      <c r="P285" s="92"/>
    </row>
    <row r="286" spans="1:16" ht="18.75" x14ac:dyDescent="0.2">
      <c r="A286" s="49"/>
      <c r="B286" s="190" t="s">
        <v>298</v>
      </c>
      <c r="C286" s="191" t="s">
        <v>299</v>
      </c>
      <c r="D286" s="192" t="s">
        <v>26</v>
      </c>
      <c r="E286" s="193"/>
      <c r="F286" s="194">
        <f t="shared" ref="F286:N288" si="62">F287</f>
        <v>20</v>
      </c>
      <c r="G286" s="194">
        <f t="shared" si="62"/>
        <v>0</v>
      </c>
      <c r="H286" s="194">
        <f t="shared" si="62"/>
        <v>20</v>
      </c>
      <c r="I286" s="195">
        <f t="shared" si="62"/>
        <v>0</v>
      </c>
      <c r="J286" s="194">
        <f>J287</f>
        <v>0</v>
      </c>
      <c r="K286" s="195">
        <f t="shared" si="62"/>
        <v>0</v>
      </c>
      <c r="L286" s="194">
        <f t="shared" si="62"/>
        <v>20</v>
      </c>
      <c r="M286" s="194">
        <f t="shared" si="62"/>
        <v>0</v>
      </c>
      <c r="N286" s="194">
        <f t="shared" si="62"/>
        <v>20</v>
      </c>
      <c r="O286" s="178"/>
      <c r="P286" s="92"/>
    </row>
    <row r="287" spans="1:16" ht="31.5" x14ac:dyDescent="0.2">
      <c r="A287" s="42"/>
      <c r="B287" s="168" t="s">
        <v>300</v>
      </c>
      <c r="C287" s="169" t="s">
        <v>301</v>
      </c>
      <c r="D287" s="170" t="s">
        <v>26</v>
      </c>
      <c r="E287" s="171"/>
      <c r="F287" s="172">
        <f t="shared" si="62"/>
        <v>20</v>
      </c>
      <c r="G287" s="172">
        <f t="shared" si="62"/>
        <v>0</v>
      </c>
      <c r="H287" s="172">
        <f t="shared" si="62"/>
        <v>20</v>
      </c>
      <c r="I287" s="188">
        <f t="shared" si="62"/>
        <v>0</v>
      </c>
      <c r="J287" s="189"/>
      <c r="K287" s="188">
        <f t="shared" si="62"/>
        <v>0</v>
      </c>
      <c r="L287" s="172">
        <f t="shared" si="62"/>
        <v>20</v>
      </c>
      <c r="M287" s="172">
        <f t="shared" si="62"/>
        <v>0</v>
      </c>
      <c r="N287" s="172">
        <f t="shared" si="62"/>
        <v>20</v>
      </c>
      <c r="O287" s="178"/>
      <c r="P287" s="92"/>
    </row>
    <row r="288" spans="1:16" ht="18.75" x14ac:dyDescent="0.2">
      <c r="A288" s="42"/>
      <c r="B288" s="168" t="s">
        <v>302</v>
      </c>
      <c r="C288" s="169" t="s">
        <v>303</v>
      </c>
      <c r="D288" s="170" t="s">
        <v>26</v>
      </c>
      <c r="E288" s="171"/>
      <c r="F288" s="172">
        <f t="shared" si="62"/>
        <v>20</v>
      </c>
      <c r="G288" s="172">
        <f t="shared" si="62"/>
        <v>0</v>
      </c>
      <c r="H288" s="172">
        <f t="shared" si="62"/>
        <v>20</v>
      </c>
      <c r="I288" s="188">
        <f t="shared" si="62"/>
        <v>0</v>
      </c>
      <c r="J288" s="189"/>
      <c r="K288" s="188">
        <f t="shared" si="62"/>
        <v>0</v>
      </c>
      <c r="L288" s="172">
        <f t="shared" si="62"/>
        <v>20</v>
      </c>
      <c r="M288" s="172">
        <f t="shared" si="62"/>
        <v>0</v>
      </c>
      <c r="N288" s="172">
        <f t="shared" si="62"/>
        <v>20</v>
      </c>
      <c r="O288" s="178"/>
      <c r="P288" s="92"/>
    </row>
    <row r="289" spans="1:16" ht="31.5" x14ac:dyDescent="0.2">
      <c r="A289" s="42"/>
      <c r="B289" s="168" t="s">
        <v>35</v>
      </c>
      <c r="C289" s="169" t="s">
        <v>303</v>
      </c>
      <c r="D289" s="170" t="s">
        <v>36</v>
      </c>
      <c r="E289" s="171"/>
      <c r="F289" s="172">
        <v>20</v>
      </c>
      <c r="G289" s="172"/>
      <c r="H289" s="172">
        <v>20</v>
      </c>
      <c r="I289" s="188">
        <v>0</v>
      </c>
      <c r="J289" s="189"/>
      <c r="K289" s="188">
        <v>0</v>
      </c>
      <c r="L289" s="172">
        <v>20</v>
      </c>
      <c r="M289" s="172"/>
      <c r="N289" s="172">
        <v>20</v>
      </c>
      <c r="O289" s="178"/>
      <c r="P289" s="92"/>
    </row>
    <row r="290" spans="1:16" ht="18.75" x14ac:dyDescent="0.2">
      <c r="A290" s="49"/>
      <c r="B290" s="190" t="s">
        <v>140</v>
      </c>
      <c r="C290" s="191" t="s">
        <v>304</v>
      </c>
      <c r="D290" s="192" t="s">
        <v>26</v>
      </c>
      <c r="E290" s="193"/>
      <c r="F290" s="194">
        <f t="shared" ref="F290:N290" si="63">F291+F294</f>
        <v>3461.5</v>
      </c>
      <c r="G290" s="194">
        <f t="shared" si="63"/>
        <v>407.7</v>
      </c>
      <c r="H290" s="194">
        <f t="shared" si="63"/>
        <v>3869.2</v>
      </c>
      <c r="I290" s="195">
        <f t="shared" si="63"/>
        <v>0</v>
      </c>
      <c r="J290" s="194">
        <f t="shared" si="63"/>
        <v>0</v>
      </c>
      <c r="K290" s="195">
        <f t="shared" si="63"/>
        <v>0</v>
      </c>
      <c r="L290" s="194">
        <f t="shared" si="63"/>
        <v>3461.5</v>
      </c>
      <c r="M290" s="194">
        <f t="shared" si="63"/>
        <v>407.7</v>
      </c>
      <c r="N290" s="194">
        <f t="shared" si="63"/>
        <v>3869.2</v>
      </c>
      <c r="O290" s="178"/>
      <c r="P290" s="92"/>
    </row>
    <row r="291" spans="1:16" ht="30.6" customHeight="1" x14ac:dyDescent="0.2">
      <c r="A291" s="42"/>
      <c r="B291" s="168" t="s">
        <v>305</v>
      </c>
      <c r="C291" s="169" t="s">
        <v>306</v>
      </c>
      <c r="D291" s="170" t="s">
        <v>26</v>
      </c>
      <c r="E291" s="171"/>
      <c r="F291" s="172">
        <f t="shared" ref="F291:N292" si="64">F292</f>
        <v>3366.5</v>
      </c>
      <c r="G291" s="172">
        <f t="shared" si="64"/>
        <v>407.7</v>
      </c>
      <c r="H291" s="172">
        <f t="shared" si="64"/>
        <v>3774.2</v>
      </c>
      <c r="I291" s="188">
        <f t="shared" si="64"/>
        <v>0</v>
      </c>
      <c r="J291" s="189"/>
      <c r="K291" s="188">
        <f t="shared" si="64"/>
        <v>0</v>
      </c>
      <c r="L291" s="172">
        <f t="shared" si="64"/>
        <v>3366.5</v>
      </c>
      <c r="M291" s="172">
        <f t="shared" si="64"/>
        <v>407.7</v>
      </c>
      <c r="N291" s="172">
        <f t="shared" si="64"/>
        <v>3774.2</v>
      </c>
      <c r="O291" s="178"/>
      <c r="P291" s="92"/>
    </row>
    <row r="292" spans="1:16" ht="63" x14ac:dyDescent="0.2">
      <c r="A292" s="42"/>
      <c r="B292" s="168" t="s">
        <v>307</v>
      </c>
      <c r="C292" s="169" t="s">
        <v>308</v>
      </c>
      <c r="D292" s="170" t="s">
        <v>26</v>
      </c>
      <c r="E292" s="171"/>
      <c r="F292" s="172">
        <f t="shared" si="64"/>
        <v>3366.5</v>
      </c>
      <c r="G292" s="172">
        <f t="shared" si="64"/>
        <v>407.7</v>
      </c>
      <c r="H292" s="172">
        <f t="shared" si="64"/>
        <v>3774.2</v>
      </c>
      <c r="I292" s="188">
        <f t="shared" si="64"/>
        <v>0</v>
      </c>
      <c r="J292" s="189"/>
      <c r="K292" s="188">
        <f t="shared" si="64"/>
        <v>0</v>
      </c>
      <c r="L292" s="172">
        <f t="shared" si="64"/>
        <v>3366.5</v>
      </c>
      <c r="M292" s="172">
        <f t="shared" si="64"/>
        <v>407.7</v>
      </c>
      <c r="N292" s="172">
        <f t="shared" si="64"/>
        <v>3774.2</v>
      </c>
      <c r="O292" s="178"/>
      <c r="P292" s="92"/>
    </row>
    <row r="293" spans="1:16" ht="18.75" x14ac:dyDescent="0.2">
      <c r="A293" s="42"/>
      <c r="B293" s="168" t="s">
        <v>278</v>
      </c>
      <c r="C293" s="169" t="s">
        <v>308</v>
      </c>
      <c r="D293" s="170" t="s">
        <v>279</v>
      </c>
      <c r="E293" s="171"/>
      <c r="F293" s="172">
        <v>3366.5</v>
      </c>
      <c r="G293" s="172">
        <v>407.7</v>
      </c>
      <c r="H293" s="172">
        <f>3366.5+G293</f>
        <v>3774.2</v>
      </c>
      <c r="I293" s="188">
        <v>0</v>
      </c>
      <c r="J293" s="189"/>
      <c r="K293" s="188">
        <v>0</v>
      </c>
      <c r="L293" s="172">
        <v>3366.5</v>
      </c>
      <c r="M293" s="172">
        <f>SUM(G293)</f>
        <v>407.7</v>
      </c>
      <c r="N293" s="172">
        <f>3366.5+M293</f>
        <v>3774.2</v>
      </c>
      <c r="O293" s="178"/>
      <c r="P293" s="92"/>
    </row>
    <row r="294" spans="1:16" ht="47.25" x14ac:dyDescent="0.2">
      <c r="A294" s="42"/>
      <c r="B294" s="168" t="s">
        <v>309</v>
      </c>
      <c r="C294" s="169" t="s">
        <v>310</v>
      </c>
      <c r="D294" s="170" t="s">
        <v>26</v>
      </c>
      <c r="E294" s="171"/>
      <c r="F294" s="172">
        <f t="shared" ref="F294:N295" si="65">F295</f>
        <v>95</v>
      </c>
      <c r="G294" s="172">
        <f t="shared" si="65"/>
        <v>0</v>
      </c>
      <c r="H294" s="172">
        <f t="shared" si="65"/>
        <v>95</v>
      </c>
      <c r="I294" s="188">
        <f t="shared" si="65"/>
        <v>0</v>
      </c>
      <c r="J294" s="189"/>
      <c r="K294" s="188">
        <f t="shared" si="65"/>
        <v>0</v>
      </c>
      <c r="L294" s="172">
        <f t="shared" si="65"/>
        <v>95</v>
      </c>
      <c r="M294" s="172">
        <f t="shared" si="65"/>
        <v>0</v>
      </c>
      <c r="N294" s="172">
        <f t="shared" si="65"/>
        <v>95</v>
      </c>
      <c r="O294" s="178"/>
      <c r="P294" s="92"/>
    </row>
    <row r="295" spans="1:16" ht="18.75" x14ac:dyDescent="0.2">
      <c r="A295" s="42"/>
      <c r="B295" s="168" t="s">
        <v>311</v>
      </c>
      <c r="C295" s="169" t="s">
        <v>312</v>
      </c>
      <c r="D295" s="170" t="s">
        <v>26</v>
      </c>
      <c r="E295" s="171"/>
      <c r="F295" s="172">
        <f t="shared" si="65"/>
        <v>95</v>
      </c>
      <c r="G295" s="172">
        <f t="shared" si="65"/>
        <v>0</v>
      </c>
      <c r="H295" s="172">
        <f t="shared" si="65"/>
        <v>95</v>
      </c>
      <c r="I295" s="188">
        <f t="shared" si="65"/>
        <v>0</v>
      </c>
      <c r="J295" s="189"/>
      <c r="K295" s="188">
        <f t="shared" si="65"/>
        <v>0</v>
      </c>
      <c r="L295" s="172">
        <f t="shared" si="65"/>
        <v>95</v>
      </c>
      <c r="M295" s="172">
        <f t="shared" si="65"/>
        <v>0</v>
      </c>
      <c r="N295" s="172">
        <f t="shared" si="65"/>
        <v>95</v>
      </c>
      <c r="O295" s="178"/>
      <c r="P295" s="92"/>
    </row>
    <row r="296" spans="1:16" ht="30" customHeight="1" x14ac:dyDescent="0.2">
      <c r="A296" s="42"/>
      <c r="B296" s="168" t="s">
        <v>35</v>
      </c>
      <c r="C296" s="169" t="s">
        <v>312</v>
      </c>
      <c r="D296" s="170" t="s">
        <v>36</v>
      </c>
      <c r="E296" s="171"/>
      <c r="F296" s="172">
        <v>95</v>
      </c>
      <c r="G296" s="172"/>
      <c r="H296" s="172">
        <v>95</v>
      </c>
      <c r="I296" s="188">
        <v>0</v>
      </c>
      <c r="J296" s="189"/>
      <c r="K296" s="188">
        <v>0</v>
      </c>
      <c r="L296" s="172">
        <v>95</v>
      </c>
      <c r="M296" s="172"/>
      <c r="N296" s="172">
        <v>95</v>
      </c>
      <c r="O296" s="178"/>
      <c r="P296" s="92"/>
    </row>
    <row r="297" spans="1:16" ht="31.5" hidden="1" x14ac:dyDescent="0.2">
      <c r="A297" s="42"/>
      <c r="B297" s="168" t="s">
        <v>448</v>
      </c>
      <c r="C297" s="169" t="s">
        <v>422</v>
      </c>
      <c r="D297" s="170"/>
      <c r="E297" s="171"/>
      <c r="F297" s="172"/>
      <c r="G297" s="172"/>
      <c r="H297" s="172">
        <f>SUM(G297)</f>
        <v>0</v>
      </c>
      <c r="I297" s="188"/>
      <c r="J297" s="189"/>
      <c r="K297" s="188"/>
      <c r="L297" s="172"/>
      <c r="M297" s="172">
        <f>SUM(G297)</f>
        <v>0</v>
      </c>
      <c r="N297" s="172">
        <f>SUM(H297)</f>
        <v>0</v>
      </c>
      <c r="O297" s="178"/>
      <c r="P297" s="92"/>
    </row>
    <row r="298" spans="1:16" ht="18.75" hidden="1" x14ac:dyDescent="0.2">
      <c r="A298" s="42"/>
      <c r="B298" s="168" t="s">
        <v>432</v>
      </c>
      <c r="C298" s="169" t="s">
        <v>433</v>
      </c>
      <c r="D298" s="170"/>
      <c r="E298" s="171"/>
      <c r="F298" s="172"/>
      <c r="G298" s="172"/>
      <c r="H298" s="172">
        <f>SUM(G298)</f>
        <v>0</v>
      </c>
      <c r="I298" s="188"/>
      <c r="J298" s="189"/>
      <c r="K298" s="188"/>
      <c r="L298" s="172"/>
      <c r="M298" s="172">
        <f>SUM(G298)</f>
        <v>0</v>
      </c>
      <c r="N298" s="172" t="s">
        <v>447</v>
      </c>
      <c r="O298" s="178"/>
      <c r="P298" s="92"/>
    </row>
    <row r="299" spans="1:16" ht="31.5" hidden="1" x14ac:dyDescent="0.2">
      <c r="A299" s="42"/>
      <c r="B299" s="168" t="s">
        <v>434</v>
      </c>
      <c r="C299" s="169" t="s">
        <v>435</v>
      </c>
      <c r="D299" s="170"/>
      <c r="E299" s="171"/>
      <c r="F299" s="172"/>
      <c r="G299" s="172"/>
      <c r="H299" s="172">
        <f>SUM(G299)</f>
        <v>0</v>
      </c>
      <c r="I299" s="188"/>
      <c r="J299" s="189"/>
      <c r="K299" s="188"/>
      <c r="L299" s="172"/>
      <c r="M299" s="172">
        <f>SUM(G300)</f>
        <v>0</v>
      </c>
      <c r="N299" s="172">
        <f>SUM(H300)</f>
        <v>0</v>
      </c>
      <c r="O299" s="178"/>
      <c r="P299" s="92"/>
    </row>
    <row r="300" spans="1:16" ht="31.5" hidden="1" x14ac:dyDescent="0.2">
      <c r="A300" s="42"/>
      <c r="B300" s="168" t="s">
        <v>35</v>
      </c>
      <c r="C300" s="169" t="s">
        <v>435</v>
      </c>
      <c r="D300" s="170" t="s">
        <v>36</v>
      </c>
      <c r="E300" s="171"/>
      <c r="F300" s="172"/>
      <c r="G300" s="172"/>
      <c r="H300" s="172">
        <f>SUM(G300)</f>
        <v>0</v>
      </c>
      <c r="I300" s="188"/>
      <c r="J300" s="189"/>
      <c r="K300" s="188"/>
      <c r="L300" s="172"/>
      <c r="M300" s="172">
        <f>SUM(G300)</f>
        <v>0</v>
      </c>
      <c r="N300" s="172">
        <f>SUM(H300)</f>
        <v>0</v>
      </c>
      <c r="O300" s="178"/>
      <c r="P300" s="92"/>
    </row>
    <row r="301" spans="1:16" ht="47.25" x14ac:dyDescent="0.2">
      <c r="A301" s="19" t="s">
        <v>313</v>
      </c>
      <c r="B301" s="182" t="s">
        <v>314</v>
      </c>
      <c r="C301" s="183" t="s">
        <v>315</v>
      </c>
      <c r="D301" s="184" t="s">
        <v>26</v>
      </c>
      <c r="E301" s="185"/>
      <c r="F301" s="186">
        <f t="shared" ref="F301:N301" si="66">F302+F312+F317</f>
        <v>6288.4</v>
      </c>
      <c r="G301" s="186">
        <f t="shared" si="66"/>
        <v>0</v>
      </c>
      <c r="H301" s="186">
        <f t="shared" si="66"/>
        <v>6288.4</v>
      </c>
      <c r="I301" s="187">
        <f t="shared" si="66"/>
        <v>700</v>
      </c>
      <c r="J301" s="186">
        <f t="shared" si="66"/>
        <v>0</v>
      </c>
      <c r="K301" s="187">
        <f t="shared" si="66"/>
        <v>700</v>
      </c>
      <c r="L301" s="186">
        <f t="shared" si="66"/>
        <v>6988.4</v>
      </c>
      <c r="M301" s="186">
        <f t="shared" si="66"/>
        <v>0</v>
      </c>
      <c r="N301" s="186">
        <f t="shared" si="66"/>
        <v>6988.4</v>
      </c>
      <c r="O301" s="178"/>
      <c r="P301" s="92"/>
    </row>
    <row r="302" spans="1:16" ht="31.5" x14ac:dyDescent="0.2">
      <c r="A302" s="49"/>
      <c r="B302" s="190" t="s">
        <v>316</v>
      </c>
      <c r="C302" s="191" t="s">
        <v>317</v>
      </c>
      <c r="D302" s="192" t="s">
        <v>26</v>
      </c>
      <c r="E302" s="193"/>
      <c r="F302" s="194">
        <f t="shared" ref="F302:N302" si="67">F303</f>
        <v>2628.4</v>
      </c>
      <c r="G302" s="194">
        <f t="shared" si="67"/>
        <v>0</v>
      </c>
      <c r="H302" s="194">
        <f t="shared" si="67"/>
        <v>2628.4</v>
      </c>
      <c r="I302" s="195">
        <f t="shared" si="67"/>
        <v>600</v>
      </c>
      <c r="J302" s="194">
        <f t="shared" si="67"/>
        <v>0</v>
      </c>
      <c r="K302" s="195">
        <f t="shared" si="67"/>
        <v>600</v>
      </c>
      <c r="L302" s="194">
        <f t="shared" si="67"/>
        <v>3228.4</v>
      </c>
      <c r="M302" s="194">
        <f t="shared" si="67"/>
        <v>0</v>
      </c>
      <c r="N302" s="194">
        <f t="shared" si="67"/>
        <v>3228.4</v>
      </c>
      <c r="O302" s="178"/>
      <c r="P302" s="92"/>
    </row>
    <row r="303" spans="1:16" ht="31.5" x14ac:dyDescent="0.2">
      <c r="A303" s="42"/>
      <c r="B303" s="168" t="s">
        <v>318</v>
      </c>
      <c r="C303" s="169" t="s">
        <v>319</v>
      </c>
      <c r="D303" s="170" t="s">
        <v>26</v>
      </c>
      <c r="E303" s="171"/>
      <c r="F303" s="172">
        <f>F304+F307</f>
        <v>2628.4</v>
      </c>
      <c r="G303" s="172">
        <f>G304+G307</f>
        <v>0</v>
      </c>
      <c r="H303" s="172">
        <f>H304+H307</f>
        <v>2628.4</v>
      </c>
      <c r="I303" s="188">
        <f>I304+I307+I310</f>
        <v>600</v>
      </c>
      <c r="J303" s="189">
        <f>SUM(J310)</f>
        <v>0</v>
      </c>
      <c r="K303" s="189">
        <f>SUM(K310)</f>
        <v>600</v>
      </c>
      <c r="L303" s="172">
        <f>L304+L307+I303</f>
        <v>3228.4</v>
      </c>
      <c r="M303" s="189">
        <f>SUM(M310)+M304+M307</f>
        <v>0</v>
      </c>
      <c r="N303" s="172">
        <f>N304+N307+K303</f>
        <v>3228.4</v>
      </c>
      <c r="O303" s="178"/>
      <c r="P303" s="92"/>
    </row>
    <row r="304" spans="1:16" ht="31.5" x14ac:dyDescent="0.2">
      <c r="A304" s="42"/>
      <c r="B304" s="168" t="s">
        <v>316</v>
      </c>
      <c r="C304" s="169" t="s">
        <v>320</v>
      </c>
      <c r="D304" s="170" t="s">
        <v>26</v>
      </c>
      <c r="E304" s="171"/>
      <c r="F304" s="172">
        <f>F306+F305</f>
        <v>2318.4</v>
      </c>
      <c r="G304" s="172">
        <f>G306</f>
        <v>0</v>
      </c>
      <c r="H304" s="172">
        <f>H306+H305</f>
        <v>2318.4</v>
      </c>
      <c r="I304" s="188">
        <f>I306</f>
        <v>0</v>
      </c>
      <c r="J304" s="189"/>
      <c r="K304" s="188">
        <f>K306</f>
        <v>0</v>
      </c>
      <c r="L304" s="172">
        <f>L306+L305</f>
        <v>2318.4</v>
      </c>
      <c r="M304" s="172">
        <f>M306</f>
        <v>0</v>
      </c>
      <c r="N304" s="172">
        <f>N306+N305</f>
        <v>2318.4</v>
      </c>
      <c r="O304" s="178"/>
      <c r="P304" s="92"/>
    </row>
    <row r="305" spans="1:16" ht="31.5" x14ac:dyDescent="0.2">
      <c r="A305" s="42"/>
      <c r="B305" s="168" t="s">
        <v>35</v>
      </c>
      <c r="C305" s="169" t="s">
        <v>320</v>
      </c>
      <c r="D305" s="170" t="s">
        <v>36</v>
      </c>
      <c r="E305" s="171"/>
      <c r="F305" s="172">
        <v>232.4</v>
      </c>
      <c r="G305" s="172"/>
      <c r="H305" s="172">
        <f>SUM(F305)</f>
        <v>232.4</v>
      </c>
      <c r="I305" s="188"/>
      <c r="J305" s="189"/>
      <c r="K305" s="188"/>
      <c r="L305" s="172">
        <f>SUM(F305)</f>
        <v>232.4</v>
      </c>
      <c r="M305" s="172"/>
      <c r="N305" s="172">
        <f>SUM(H305)</f>
        <v>232.4</v>
      </c>
      <c r="O305" s="178"/>
      <c r="P305" s="92"/>
    </row>
    <row r="306" spans="1:16" ht="18.75" x14ac:dyDescent="0.2">
      <c r="A306" s="42"/>
      <c r="B306" s="168" t="s">
        <v>54</v>
      </c>
      <c r="C306" s="169" t="s">
        <v>320</v>
      </c>
      <c r="D306" s="170" t="s">
        <v>55</v>
      </c>
      <c r="E306" s="171"/>
      <c r="F306" s="172">
        <v>2086</v>
      </c>
      <c r="G306" s="172"/>
      <c r="H306" s="172">
        <f>SUM(F306:G306)</f>
        <v>2086</v>
      </c>
      <c r="I306" s="188">
        <v>0</v>
      </c>
      <c r="J306" s="189"/>
      <c r="K306" s="188">
        <v>0</v>
      </c>
      <c r="L306" s="172">
        <f>SUM(F306)</f>
        <v>2086</v>
      </c>
      <c r="M306" s="172">
        <f>G306+J306</f>
        <v>0</v>
      </c>
      <c r="N306" s="172">
        <f>SUM(L306:M306)</f>
        <v>2086</v>
      </c>
      <c r="O306" s="178"/>
      <c r="P306" s="92"/>
    </row>
    <row r="307" spans="1:16" ht="31.5" x14ac:dyDescent="0.2">
      <c r="A307" s="42"/>
      <c r="B307" s="168" t="s">
        <v>321</v>
      </c>
      <c r="C307" s="169" t="s">
        <v>322</v>
      </c>
      <c r="D307" s="170" t="s">
        <v>26</v>
      </c>
      <c r="E307" s="171"/>
      <c r="F307" s="172">
        <f>F308+F309</f>
        <v>310</v>
      </c>
      <c r="G307" s="172">
        <f>G308+G309</f>
        <v>0</v>
      </c>
      <c r="H307" s="172">
        <f>H308+H309</f>
        <v>310</v>
      </c>
      <c r="I307" s="188">
        <f>I308+I309</f>
        <v>0</v>
      </c>
      <c r="J307" s="189"/>
      <c r="K307" s="188">
        <f>K308+K309</f>
        <v>0</v>
      </c>
      <c r="L307" s="172">
        <f>L308+L309</f>
        <v>310</v>
      </c>
      <c r="M307" s="172">
        <f>M308+M309</f>
        <v>0</v>
      </c>
      <c r="N307" s="172">
        <f>N308+N309</f>
        <v>310</v>
      </c>
      <c r="O307" s="178"/>
      <c r="P307" s="92"/>
    </row>
    <row r="308" spans="1:16" ht="31.5" x14ac:dyDescent="0.2">
      <c r="A308" s="42"/>
      <c r="B308" s="168" t="s">
        <v>35</v>
      </c>
      <c r="C308" s="169" t="s">
        <v>322</v>
      </c>
      <c r="D308" s="170" t="s">
        <v>36</v>
      </c>
      <c r="E308" s="171"/>
      <c r="F308" s="172">
        <v>300</v>
      </c>
      <c r="G308" s="172"/>
      <c r="H308" s="172">
        <v>300</v>
      </c>
      <c r="I308" s="188">
        <v>0</v>
      </c>
      <c r="J308" s="189"/>
      <c r="K308" s="188">
        <v>0</v>
      </c>
      <c r="L308" s="172">
        <v>300</v>
      </c>
      <c r="M308" s="172"/>
      <c r="N308" s="172">
        <v>300</v>
      </c>
      <c r="O308" s="178"/>
      <c r="P308" s="92"/>
    </row>
    <row r="309" spans="1:16" ht="18.75" x14ac:dyDescent="0.2">
      <c r="A309" s="42"/>
      <c r="B309" s="168" t="s">
        <v>54</v>
      </c>
      <c r="C309" s="169" t="s">
        <v>322</v>
      </c>
      <c r="D309" s="170" t="s">
        <v>55</v>
      </c>
      <c r="E309" s="171"/>
      <c r="F309" s="172">
        <v>10</v>
      </c>
      <c r="G309" s="172"/>
      <c r="H309" s="172">
        <v>10</v>
      </c>
      <c r="I309" s="188">
        <v>0</v>
      </c>
      <c r="J309" s="189"/>
      <c r="K309" s="188">
        <v>0</v>
      </c>
      <c r="L309" s="172">
        <v>10</v>
      </c>
      <c r="M309" s="172"/>
      <c r="N309" s="172">
        <v>10</v>
      </c>
      <c r="O309" s="178"/>
      <c r="P309" s="92"/>
    </row>
    <row r="310" spans="1:16" ht="31.5" x14ac:dyDescent="0.2">
      <c r="A310" s="42"/>
      <c r="B310" s="168" t="s">
        <v>468</v>
      </c>
      <c r="C310" s="169" t="s">
        <v>466</v>
      </c>
      <c r="D310" s="170"/>
      <c r="E310" s="171"/>
      <c r="F310" s="172"/>
      <c r="G310" s="172"/>
      <c r="H310" s="172"/>
      <c r="I310" s="188">
        <v>600</v>
      </c>
      <c r="J310" s="189">
        <f>SUM(J311)</f>
        <v>0</v>
      </c>
      <c r="K310" s="189">
        <f>SUM(K311)</f>
        <v>600</v>
      </c>
      <c r="L310" s="172">
        <f t="shared" ref="L310:N311" si="68">SUM(I310)</f>
        <v>600</v>
      </c>
      <c r="M310" s="172">
        <f t="shared" si="68"/>
        <v>0</v>
      </c>
      <c r="N310" s="172">
        <f t="shared" si="68"/>
        <v>600</v>
      </c>
      <c r="O310" s="178"/>
      <c r="P310" s="92"/>
    </row>
    <row r="311" spans="1:16" ht="31.5" x14ac:dyDescent="0.2">
      <c r="A311" s="42"/>
      <c r="B311" s="168" t="s">
        <v>35</v>
      </c>
      <c r="C311" s="169" t="s">
        <v>466</v>
      </c>
      <c r="D311" s="170" t="s">
        <v>36</v>
      </c>
      <c r="E311" s="171"/>
      <c r="F311" s="172"/>
      <c r="G311" s="172"/>
      <c r="H311" s="172"/>
      <c r="I311" s="188">
        <v>600</v>
      </c>
      <c r="J311" s="189"/>
      <c r="K311" s="188">
        <f>SUM(I311)</f>
        <v>600</v>
      </c>
      <c r="L311" s="172">
        <f t="shared" si="68"/>
        <v>600</v>
      </c>
      <c r="M311" s="172">
        <f t="shared" si="68"/>
        <v>0</v>
      </c>
      <c r="N311" s="172">
        <f t="shared" si="68"/>
        <v>600</v>
      </c>
      <c r="O311" s="178"/>
      <c r="P311" s="92"/>
    </row>
    <row r="312" spans="1:16" ht="31.5" x14ac:dyDescent="0.2">
      <c r="A312" s="49"/>
      <c r="B312" s="190" t="s">
        <v>323</v>
      </c>
      <c r="C312" s="191" t="s">
        <v>324</v>
      </c>
      <c r="D312" s="192" t="s">
        <v>26</v>
      </c>
      <c r="E312" s="193"/>
      <c r="F312" s="194">
        <f t="shared" ref="F312:N314" si="69">F313</f>
        <v>150</v>
      </c>
      <c r="G312" s="194">
        <f t="shared" si="69"/>
        <v>0</v>
      </c>
      <c r="H312" s="194">
        <f t="shared" si="69"/>
        <v>150</v>
      </c>
      <c r="I312" s="195">
        <f t="shared" si="69"/>
        <v>0</v>
      </c>
      <c r="J312" s="194">
        <f>J313</f>
        <v>0</v>
      </c>
      <c r="K312" s="195">
        <f t="shared" si="69"/>
        <v>0</v>
      </c>
      <c r="L312" s="194">
        <f t="shared" si="69"/>
        <v>150</v>
      </c>
      <c r="M312" s="194">
        <f t="shared" si="69"/>
        <v>0</v>
      </c>
      <c r="N312" s="194">
        <f t="shared" si="69"/>
        <v>150</v>
      </c>
      <c r="O312" s="178"/>
      <c r="P312" s="92"/>
    </row>
    <row r="313" spans="1:16" ht="47.25" x14ac:dyDescent="0.2">
      <c r="A313" s="42"/>
      <c r="B313" s="168" t="s">
        <v>325</v>
      </c>
      <c r="C313" s="169" t="s">
        <v>326</v>
      </c>
      <c r="D313" s="170" t="s">
        <v>26</v>
      </c>
      <c r="E313" s="171"/>
      <c r="F313" s="172">
        <f t="shared" si="69"/>
        <v>150</v>
      </c>
      <c r="G313" s="172">
        <f t="shared" si="69"/>
        <v>0</v>
      </c>
      <c r="H313" s="172">
        <f t="shared" si="69"/>
        <v>150</v>
      </c>
      <c r="I313" s="188">
        <f t="shared" si="69"/>
        <v>0</v>
      </c>
      <c r="J313" s="189"/>
      <c r="K313" s="188">
        <f t="shared" si="69"/>
        <v>0</v>
      </c>
      <c r="L313" s="172">
        <f t="shared" si="69"/>
        <v>150</v>
      </c>
      <c r="M313" s="172">
        <f t="shared" si="69"/>
        <v>0</v>
      </c>
      <c r="N313" s="172">
        <f t="shared" si="69"/>
        <v>150</v>
      </c>
      <c r="O313" s="178"/>
      <c r="P313" s="92"/>
    </row>
    <row r="314" spans="1:16" ht="33" customHeight="1" x14ac:dyDescent="0.2">
      <c r="A314" s="42"/>
      <c r="B314" s="168" t="s">
        <v>327</v>
      </c>
      <c r="C314" s="169" t="s">
        <v>328</v>
      </c>
      <c r="D314" s="170" t="s">
        <v>26</v>
      </c>
      <c r="E314" s="171"/>
      <c r="F314" s="172">
        <f t="shared" si="69"/>
        <v>150</v>
      </c>
      <c r="G314" s="172">
        <f t="shared" si="69"/>
        <v>0</v>
      </c>
      <c r="H314" s="172">
        <f t="shared" si="69"/>
        <v>150</v>
      </c>
      <c r="I314" s="188">
        <f t="shared" si="69"/>
        <v>0</v>
      </c>
      <c r="J314" s="189"/>
      <c r="K314" s="188">
        <f t="shared" si="69"/>
        <v>0</v>
      </c>
      <c r="L314" s="172">
        <f t="shared" si="69"/>
        <v>150</v>
      </c>
      <c r="M314" s="172">
        <f t="shared" si="69"/>
        <v>0</v>
      </c>
      <c r="N314" s="172">
        <f t="shared" si="69"/>
        <v>150</v>
      </c>
      <c r="O314" s="178"/>
      <c r="P314" s="92"/>
    </row>
    <row r="315" spans="1:16" ht="31.5" x14ac:dyDescent="0.2">
      <c r="A315" s="42"/>
      <c r="B315" s="168" t="s">
        <v>35</v>
      </c>
      <c r="C315" s="169" t="s">
        <v>328</v>
      </c>
      <c r="D315" s="170" t="s">
        <v>36</v>
      </c>
      <c r="E315" s="171"/>
      <c r="F315" s="172">
        <v>150</v>
      </c>
      <c r="G315" s="172"/>
      <c r="H315" s="172">
        <v>150</v>
      </c>
      <c r="I315" s="188">
        <v>0</v>
      </c>
      <c r="J315" s="189"/>
      <c r="K315" s="188">
        <v>0</v>
      </c>
      <c r="L315" s="172">
        <v>150</v>
      </c>
      <c r="M315" s="172"/>
      <c r="N315" s="172">
        <v>150</v>
      </c>
      <c r="O315" s="178"/>
      <c r="P315" s="92"/>
    </row>
    <row r="316" spans="1:16" ht="18.75" hidden="1" x14ac:dyDescent="0.2">
      <c r="A316" s="42"/>
      <c r="B316" s="168"/>
      <c r="C316" s="169"/>
      <c r="D316" s="170"/>
      <c r="E316" s="171"/>
      <c r="F316" s="172"/>
      <c r="G316" s="172"/>
      <c r="H316" s="172"/>
      <c r="I316" s="188"/>
      <c r="J316" s="189"/>
      <c r="K316" s="189"/>
      <c r="L316" s="172"/>
      <c r="M316" s="172"/>
      <c r="N316" s="172"/>
      <c r="O316" s="178"/>
      <c r="P316" s="92"/>
    </row>
    <row r="317" spans="1:16" ht="31.5" x14ac:dyDescent="0.2">
      <c r="A317" s="49"/>
      <c r="B317" s="190" t="s">
        <v>329</v>
      </c>
      <c r="C317" s="191" t="s">
        <v>330</v>
      </c>
      <c r="D317" s="192" t="s">
        <v>26</v>
      </c>
      <c r="E317" s="193"/>
      <c r="F317" s="194">
        <f t="shared" ref="F317:N318" si="70">F318</f>
        <v>3510</v>
      </c>
      <c r="G317" s="194">
        <f t="shared" si="70"/>
        <v>0</v>
      </c>
      <c r="H317" s="194">
        <f t="shared" si="70"/>
        <v>3510</v>
      </c>
      <c r="I317" s="195">
        <f>I318+I322</f>
        <v>100</v>
      </c>
      <c r="J317" s="194">
        <f>SUM(J322)</f>
        <v>0</v>
      </c>
      <c r="K317" s="194">
        <f>SUM(K322)</f>
        <v>100</v>
      </c>
      <c r="L317" s="194">
        <f>L318+I317</f>
        <v>3610</v>
      </c>
      <c r="M317" s="194">
        <f>M318+M322</f>
        <v>0</v>
      </c>
      <c r="N317" s="194">
        <f>N318+K317</f>
        <v>3610</v>
      </c>
      <c r="O317" s="178"/>
      <c r="P317" s="92"/>
    </row>
    <row r="318" spans="1:16" ht="96" customHeight="1" x14ac:dyDescent="0.2">
      <c r="A318" s="42"/>
      <c r="B318" s="214" t="s">
        <v>331</v>
      </c>
      <c r="C318" s="169" t="s">
        <v>332</v>
      </c>
      <c r="D318" s="170" t="s">
        <v>26</v>
      </c>
      <c r="E318" s="171"/>
      <c r="F318" s="172">
        <f t="shared" si="70"/>
        <v>3510</v>
      </c>
      <c r="G318" s="172">
        <f t="shared" si="70"/>
        <v>0</v>
      </c>
      <c r="H318" s="172">
        <f t="shared" si="70"/>
        <v>3510</v>
      </c>
      <c r="I318" s="188">
        <f t="shared" si="70"/>
        <v>0</v>
      </c>
      <c r="J318" s="189"/>
      <c r="K318" s="188">
        <f t="shared" si="70"/>
        <v>0</v>
      </c>
      <c r="L318" s="172">
        <f t="shared" si="70"/>
        <v>3510</v>
      </c>
      <c r="M318" s="172">
        <f t="shared" si="70"/>
        <v>0</v>
      </c>
      <c r="N318" s="172">
        <f t="shared" si="70"/>
        <v>3510</v>
      </c>
      <c r="O318" s="178"/>
      <c r="P318" s="92"/>
    </row>
    <row r="319" spans="1:16" ht="31.5" x14ac:dyDescent="0.2">
      <c r="A319" s="42"/>
      <c r="B319" s="168" t="s">
        <v>333</v>
      </c>
      <c r="C319" s="169" t="s">
        <v>334</v>
      </c>
      <c r="D319" s="170" t="s">
        <v>26</v>
      </c>
      <c r="E319" s="171"/>
      <c r="F319" s="172">
        <f>F320+F321</f>
        <v>3510</v>
      </c>
      <c r="G319" s="172">
        <f>G320+G321</f>
        <v>0</v>
      </c>
      <c r="H319" s="172">
        <f>H320+H321</f>
        <v>3510</v>
      </c>
      <c r="I319" s="188">
        <f>I320+I321</f>
        <v>0</v>
      </c>
      <c r="J319" s="189"/>
      <c r="K319" s="188">
        <f>K320+K321</f>
        <v>0</v>
      </c>
      <c r="L319" s="172">
        <f>L320+L321</f>
        <v>3510</v>
      </c>
      <c r="M319" s="172">
        <f>M320+M321</f>
        <v>0</v>
      </c>
      <c r="N319" s="172">
        <f>SUM(H319)</f>
        <v>3510</v>
      </c>
      <c r="O319" s="178"/>
      <c r="P319" s="92"/>
    </row>
    <row r="320" spans="1:16" ht="31.5" x14ac:dyDescent="0.2">
      <c r="A320" s="42"/>
      <c r="B320" s="168" t="s">
        <v>35</v>
      </c>
      <c r="C320" s="169" t="s">
        <v>334</v>
      </c>
      <c r="D320" s="170" t="s">
        <v>36</v>
      </c>
      <c r="E320" s="171"/>
      <c r="F320" s="172">
        <v>3446.8</v>
      </c>
      <c r="G320" s="172"/>
      <c r="H320" s="172">
        <f>SUM(F320:G320)</f>
        <v>3446.8</v>
      </c>
      <c r="I320" s="188">
        <v>0</v>
      </c>
      <c r="J320" s="189"/>
      <c r="K320" s="188">
        <v>0</v>
      </c>
      <c r="L320" s="172">
        <f>SUM(F320)</f>
        <v>3446.8</v>
      </c>
      <c r="M320" s="172">
        <f>SUM(G320)</f>
        <v>0</v>
      </c>
      <c r="N320" s="172">
        <f>SUM(L320:M320)</f>
        <v>3446.8</v>
      </c>
      <c r="O320" s="178"/>
      <c r="P320" s="92"/>
    </row>
    <row r="321" spans="1:16" ht="18.75" x14ac:dyDescent="0.2">
      <c r="A321" s="42"/>
      <c r="B321" s="168" t="s">
        <v>41</v>
      </c>
      <c r="C321" s="169" t="s">
        <v>334</v>
      </c>
      <c r="D321" s="170" t="s">
        <v>42</v>
      </c>
      <c r="E321" s="171"/>
      <c r="F321" s="172">
        <v>63.2</v>
      </c>
      <c r="G321" s="172"/>
      <c r="H321" s="172">
        <v>63.2</v>
      </c>
      <c r="I321" s="188">
        <v>0</v>
      </c>
      <c r="J321" s="189"/>
      <c r="K321" s="188">
        <v>0</v>
      </c>
      <c r="L321" s="172">
        <v>63.2</v>
      </c>
      <c r="M321" s="172"/>
      <c r="N321" s="172">
        <v>63.2</v>
      </c>
      <c r="O321" s="178"/>
      <c r="P321" s="92"/>
    </row>
    <row r="322" spans="1:16" ht="47.25" x14ac:dyDescent="0.2">
      <c r="A322" s="42"/>
      <c r="B322" s="168" t="s">
        <v>465</v>
      </c>
      <c r="C322" s="169" t="s">
        <v>463</v>
      </c>
      <c r="D322" s="170"/>
      <c r="E322" s="171"/>
      <c r="F322" s="172"/>
      <c r="G322" s="172"/>
      <c r="H322" s="172"/>
      <c r="I322" s="188">
        <f>SUM(I323)</f>
        <v>100</v>
      </c>
      <c r="J322" s="189">
        <f>SUM(J323)</f>
        <v>0</v>
      </c>
      <c r="K322" s="189">
        <f>SUM(K323)</f>
        <v>100</v>
      </c>
      <c r="L322" s="172">
        <f t="shared" ref="L322:N323" si="71">SUM(I322)</f>
        <v>100</v>
      </c>
      <c r="M322" s="172">
        <f t="shared" si="71"/>
        <v>0</v>
      </c>
      <c r="N322" s="172">
        <f t="shared" si="71"/>
        <v>100</v>
      </c>
      <c r="O322" s="178"/>
      <c r="P322" s="92"/>
    </row>
    <row r="323" spans="1:16" ht="31.5" x14ac:dyDescent="0.2">
      <c r="A323" s="42"/>
      <c r="B323" s="168" t="s">
        <v>35</v>
      </c>
      <c r="C323" s="169" t="s">
        <v>464</v>
      </c>
      <c r="D323" s="170" t="s">
        <v>36</v>
      </c>
      <c r="E323" s="171"/>
      <c r="F323" s="172"/>
      <c r="G323" s="172"/>
      <c r="H323" s="172"/>
      <c r="I323" s="188">
        <v>100</v>
      </c>
      <c r="J323" s="189"/>
      <c r="K323" s="188">
        <v>100</v>
      </c>
      <c r="L323" s="172">
        <f t="shared" si="71"/>
        <v>100</v>
      </c>
      <c r="M323" s="172">
        <f t="shared" si="71"/>
        <v>0</v>
      </c>
      <c r="N323" s="172">
        <f t="shared" si="71"/>
        <v>100</v>
      </c>
      <c r="O323" s="178"/>
      <c r="P323" s="92"/>
    </row>
    <row r="324" spans="1:16" ht="31.5" x14ac:dyDescent="0.2">
      <c r="A324" s="19" t="s">
        <v>335</v>
      </c>
      <c r="B324" s="182" t="s">
        <v>336</v>
      </c>
      <c r="C324" s="183" t="s">
        <v>337</v>
      </c>
      <c r="D324" s="184" t="s">
        <v>26</v>
      </c>
      <c r="E324" s="185"/>
      <c r="F324" s="186">
        <f>F325+F335+F332</f>
        <v>45364.3</v>
      </c>
      <c r="G324" s="186">
        <f>G325+G335+G332</f>
        <v>-2993.5</v>
      </c>
      <c r="H324" s="186">
        <f>H325+H335+H332</f>
        <v>42370.8</v>
      </c>
      <c r="I324" s="187">
        <f>I325+I335</f>
        <v>124390.6</v>
      </c>
      <c r="J324" s="186">
        <f>J325+J335</f>
        <v>-18389.099999999999</v>
      </c>
      <c r="K324" s="187">
        <f>K325+K335</f>
        <v>106001.5</v>
      </c>
      <c r="L324" s="186">
        <f>L325+L335+L332</f>
        <v>169754.90000000002</v>
      </c>
      <c r="M324" s="186">
        <f>SUM(J324)+G324</f>
        <v>-21382.6</v>
      </c>
      <c r="N324" s="186">
        <f>N325+N335+N332</f>
        <v>148372.29999999999</v>
      </c>
      <c r="O324" s="178"/>
      <c r="P324" s="92"/>
    </row>
    <row r="325" spans="1:16" ht="18.75" x14ac:dyDescent="0.2">
      <c r="A325" s="49"/>
      <c r="B325" s="190" t="s">
        <v>338</v>
      </c>
      <c r="C325" s="191" t="s">
        <v>339</v>
      </c>
      <c r="D325" s="192" t="s">
        <v>26</v>
      </c>
      <c r="E325" s="193"/>
      <c r="F325" s="194">
        <f t="shared" ref="F325:N325" si="72">F326</f>
        <v>29421.300000000003</v>
      </c>
      <c r="G325" s="194">
        <f t="shared" si="72"/>
        <v>-3671.5</v>
      </c>
      <c r="H325" s="194">
        <f t="shared" si="72"/>
        <v>25749.800000000003</v>
      </c>
      <c r="I325" s="195">
        <f t="shared" si="72"/>
        <v>119390.6</v>
      </c>
      <c r="J325" s="194">
        <f t="shared" si="72"/>
        <v>-18389.099999999999</v>
      </c>
      <c r="K325" s="195">
        <f t="shared" si="72"/>
        <v>101001.5</v>
      </c>
      <c r="L325" s="194">
        <f t="shared" si="72"/>
        <v>148811.90000000002</v>
      </c>
      <c r="M325" s="194">
        <f t="shared" si="72"/>
        <v>-22060.6</v>
      </c>
      <c r="N325" s="194">
        <f t="shared" si="72"/>
        <v>126751.3</v>
      </c>
      <c r="O325" s="178"/>
      <c r="P325" s="92"/>
    </row>
    <row r="326" spans="1:16" ht="47.25" x14ac:dyDescent="0.2">
      <c r="A326" s="42"/>
      <c r="B326" s="168" t="s">
        <v>340</v>
      </c>
      <c r="C326" s="169" t="s">
        <v>341</v>
      </c>
      <c r="D326" s="170" t="s">
        <v>26</v>
      </c>
      <c r="E326" s="171"/>
      <c r="F326" s="172">
        <f>F327+F330</f>
        <v>29421.300000000003</v>
      </c>
      <c r="G326" s="172">
        <f>G327+G330</f>
        <v>-3671.5</v>
      </c>
      <c r="H326" s="172">
        <f>H327+H330</f>
        <v>25749.800000000003</v>
      </c>
      <c r="I326" s="188">
        <f>I327+I330</f>
        <v>119390.6</v>
      </c>
      <c r="J326" s="189">
        <f>SUM(J330)</f>
        <v>-18389.099999999999</v>
      </c>
      <c r="K326" s="188">
        <f>K327+K330</f>
        <v>101001.5</v>
      </c>
      <c r="L326" s="172">
        <f>L327+L330</f>
        <v>148811.90000000002</v>
      </c>
      <c r="M326" s="172">
        <f>M327+M330</f>
        <v>-22060.6</v>
      </c>
      <c r="N326" s="172">
        <f>N327+N330</f>
        <v>126751.3</v>
      </c>
      <c r="O326" s="178"/>
      <c r="P326" s="92"/>
    </row>
    <row r="327" spans="1:16" ht="36" customHeight="1" x14ac:dyDescent="0.2">
      <c r="A327" s="42"/>
      <c r="B327" s="168" t="s">
        <v>342</v>
      </c>
      <c r="C327" s="169" t="s">
        <v>343</v>
      </c>
      <c r="D327" s="170" t="s">
        <v>26</v>
      </c>
      <c r="E327" s="171"/>
      <c r="F327" s="172">
        <f>F328+F329</f>
        <v>9985.6</v>
      </c>
      <c r="G327" s="172">
        <f>G328+G329</f>
        <v>-678</v>
      </c>
      <c r="H327" s="172">
        <f>H328+H329</f>
        <v>9307.6</v>
      </c>
      <c r="I327" s="188">
        <f>I328+I329</f>
        <v>0</v>
      </c>
      <c r="J327" s="189"/>
      <c r="K327" s="188">
        <f>K328+K329</f>
        <v>0</v>
      </c>
      <c r="L327" s="172">
        <f>L328+L329</f>
        <v>9985.6</v>
      </c>
      <c r="M327" s="172">
        <f>M328+M329</f>
        <v>-678</v>
      </c>
      <c r="N327" s="172">
        <f>N328+N329</f>
        <v>9307.6</v>
      </c>
      <c r="O327" s="178"/>
      <c r="P327" s="92"/>
    </row>
    <row r="328" spans="1:16" ht="31.5" x14ac:dyDescent="0.2">
      <c r="A328" s="42"/>
      <c r="B328" s="168" t="s">
        <v>35</v>
      </c>
      <c r="C328" s="169" t="s">
        <v>343</v>
      </c>
      <c r="D328" s="170" t="s">
        <v>36</v>
      </c>
      <c r="E328" s="171"/>
      <c r="F328" s="172">
        <v>2940</v>
      </c>
      <c r="G328" s="172"/>
      <c r="H328" s="172">
        <f>F328+G328</f>
        <v>2940</v>
      </c>
      <c r="I328" s="188">
        <v>0</v>
      </c>
      <c r="J328" s="189"/>
      <c r="K328" s="188">
        <v>0</v>
      </c>
      <c r="L328" s="172">
        <f t="shared" ref="L328:N329" si="73">SUM(F328)</f>
        <v>2940</v>
      </c>
      <c r="M328" s="172">
        <f t="shared" si="73"/>
        <v>0</v>
      </c>
      <c r="N328" s="172">
        <f t="shared" si="73"/>
        <v>2940</v>
      </c>
      <c r="O328" s="178"/>
      <c r="P328" s="92"/>
    </row>
    <row r="329" spans="1:16" ht="31.5" x14ac:dyDescent="0.2">
      <c r="A329" s="42"/>
      <c r="B329" s="168" t="s">
        <v>131</v>
      </c>
      <c r="C329" s="169" t="s">
        <v>343</v>
      </c>
      <c r="D329" s="170" t="s">
        <v>132</v>
      </c>
      <c r="E329" s="171"/>
      <c r="F329" s="172">
        <v>7045.6</v>
      </c>
      <c r="G329" s="172">
        <v>-678</v>
      </c>
      <c r="H329" s="172">
        <f>SUM(F329)+G329</f>
        <v>6367.6</v>
      </c>
      <c r="I329" s="188">
        <v>0</v>
      </c>
      <c r="J329" s="189"/>
      <c r="K329" s="188">
        <v>0</v>
      </c>
      <c r="L329" s="172">
        <f>SUM(F329)</f>
        <v>7045.6</v>
      </c>
      <c r="M329" s="172">
        <f t="shared" si="73"/>
        <v>-678</v>
      </c>
      <c r="N329" s="172">
        <f>SUM(H329)</f>
        <v>6367.6</v>
      </c>
      <c r="O329" s="178"/>
      <c r="P329" s="92"/>
    </row>
    <row r="330" spans="1:16" ht="18.75" x14ac:dyDescent="0.2">
      <c r="A330" s="42"/>
      <c r="B330" s="168" t="s">
        <v>344</v>
      </c>
      <c r="C330" s="169" t="s">
        <v>345</v>
      </c>
      <c r="D330" s="170" t="s">
        <v>26</v>
      </c>
      <c r="E330" s="171"/>
      <c r="F330" s="172">
        <f>F331</f>
        <v>19435.7</v>
      </c>
      <c r="G330" s="172">
        <f>G331</f>
        <v>-2993.5</v>
      </c>
      <c r="H330" s="172">
        <f>H331</f>
        <v>16442.2</v>
      </c>
      <c r="I330" s="188">
        <f>I331</f>
        <v>119390.6</v>
      </c>
      <c r="J330" s="189">
        <v>-18389.099999999999</v>
      </c>
      <c r="K330" s="188">
        <f>K331</f>
        <v>101001.5</v>
      </c>
      <c r="L330" s="172">
        <f>L331</f>
        <v>138826.30000000002</v>
      </c>
      <c r="M330" s="172">
        <f>M331</f>
        <v>-21382.6</v>
      </c>
      <c r="N330" s="172">
        <f>N331</f>
        <v>117443.7</v>
      </c>
      <c r="O330" s="178"/>
      <c r="P330" s="92"/>
    </row>
    <row r="331" spans="1:16" ht="31.5" x14ac:dyDescent="0.2">
      <c r="A331" s="42"/>
      <c r="B331" s="168" t="s">
        <v>131</v>
      </c>
      <c r="C331" s="169" t="s">
        <v>345</v>
      </c>
      <c r="D331" s="170" t="s">
        <v>132</v>
      </c>
      <c r="E331" s="171"/>
      <c r="F331" s="172">
        <v>19435.7</v>
      </c>
      <c r="G331" s="172">
        <v>-2993.5</v>
      </c>
      <c r="H331" s="172">
        <f>SUM(F331)+G331</f>
        <v>16442.2</v>
      </c>
      <c r="I331" s="188">
        <v>119390.6</v>
      </c>
      <c r="J331" s="189">
        <v>-18389.099999999999</v>
      </c>
      <c r="K331" s="188">
        <f>SUM(I331)+J331</f>
        <v>101001.5</v>
      </c>
      <c r="L331" s="172">
        <f>SUM(F331)+I331</f>
        <v>138826.30000000002</v>
      </c>
      <c r="M331" s="172">
        <f>SUM(G331)+J331</f>
        <v>-21382.6</v>
      </c>
      <c r="N331" s="172">
        <f>SUM(H331)+K331</f>
        <v>117443.7</v>
      </c>
      <c r="O331" s="178"/>
      <c r="P331" s="92"/>
    </row>
    <row r="332" spans="1:16" ht="18.75" x14ac:dyDescent="0.2">
      <c r="A332" s="42"/>
      <c r="B332" s="168" t="s">
        <v>346</v>
      </c>
      <c r="C332" s="169" t="s">
        <v>347</v>
      </c>
      <c r="D332" s="170"/>
      <c r="E332" s="171"/>
      <c r="F332" s="172">
        <v>0</v>
      </c>
      <c r="G332" s="172">
        <f>SUM(G334)</f>
        <v>0</v>
      </c>
      <c r="H332" s="172">
        <f>SUM(F332:G332)</f>
        <v>0</v>
      </c>
      <c r="I332" s="188"/>
      <c r="J332" s="189"/>
      <c r="K332" s="188"/>
      <c r="L332" s="172">
        <f>SUM(F332)</f>
        <v>0</v>
      </c>
      <c r="M332" s="172">
        <f>SUM(G332)</f>
        <v>0</v>
      </c>
      <c r="N332" s="172">
        <f>SUM(H332)</f>
        <v>0</v>
      </c>
      <c r="O332" s="178"/>
      <c r="P332" s="92"/>
    </row>
    <row r="333" spans="1:16" ht="1.5" customHeight="1" x14ac:dyDescent="0.2">
      <c r="A333" s="42"/>
      <c r="B333" s="168"/>
      <c r="C333" s="169"/>
      <c r="D333" s="170"/>
      <c r="E333" s="171"/>
      <c r="F333" s="172"/>
      <c r="G333" s="172">
        <f>SUM(G334)</f>
        <v>0</v>
      </c>
      <c r="H333" s="172">
        <f>SUM(G333)</f>
        <v>0</v>
      </c>
      <c r="I333" s="188"/>
      <c r="J333" s="189"/>
      <c r="K333" s="188"/>
      <c r="L333" s="172"/>
      <c r="M333" s="172">
        <f>SUM(G333)</f>
        <v>0</v>
      </c>
      <c r="N333" s="172">
        <f>SUM(M333)</f>
        <v>0</v>
      </c>
      <c r="O333" s="178"/>
      <c r="P333" s="92"/>
    </row>
    <row r="334" spans="1:16" ht="31.5" x14ac:dyDescent="0.2">
      <c r="A334" s="42"/>
      <c r="B334" s="168" t="s">
        <v>131</v>
      </c>
      <c r="C334" s="169" t="s">
        <v>347</v>
      </c>
      <c r="D334" s="170" t="s">
        <v>132</v>
      </c>
      <c r="E334" s="171"/>
      <c r="F334" s="172">
        <v>0</v>
      </c>
      <c r="G334" s="172"/>
      <c r="H334" s="172">
        <f>SUM(F334:G334)</f>
        <v>0</v>
      </c>
      <c r="I334" s="188"/>
      <c r="J334" s="189"/>
      <c r="K334" s="188"/>
      <c r="L334" s="172">
        <f>SUM(F334)</f>
        <v>0</v>
      </c>
      <c r="M334" s="172">
        <f>SUM(G334)</f>
        <v>0</v>
      </c>
      <c r="N334" s="172">
        <f>SUM(H334)</f>
        <v>0</v>
      </c>
      <c r="O334" s="178"/>
      <c r="P334" s="92"/>
    </row>
    <row r="335" spans="1:16" ht="18.75" x14ac:dyDescent="0.2">
      <c r="A335" s="42"/>
      <c r="B335" s="190" t="s">
        <v>348</v>
      </c>
      <c r="C335" s="191" t="s">
        <v>349</v>
      </c>
      <c r="D335" s="192"/>
      <c r="E335" s="193"/>
      <c r="F335" s="194">
        <f>SUM(F337)</f>
        <v>15943</v>
      </c>
      <c r="G335" s="194">
        <f>SUM(G337)</f>
        <v>678</v>
      </c>
      <c r="H335" s="194">
        <f>SUM(H337)</f>
        <v>16621</v>
      </c>
      <c r="I335" s="188">
        <v>5000</v>
      </c>
      <c r="J335" s="194">
        <f>SUM(J337)</f>
        <v>0</v>
      </c>
      <c r="K335" s="189">
        <v>5000</v>
      </c>
      <c r="L335" s="194">
        <f>SUM(L337)+I335</f>
        <v>20943</v>
      </c>
      <c r="M335" s="194">
        <f>SUM(M337)</f>
        <v>0</v>
      </c>
      <c r="N335" s="172">
        <f>SUM(H335+K335)</f>
        <v>21621</v>
      </c>
      <c r="O335" s="178"/>
      <c r="P335" s="92"/>
    </row>
    <row r="336" spans="1:16" ht="47.25" x14ac:dyDescent="0.2">
      <c r="A336" s="42"/>
      <c r="B336" s="168" t="s">
        <v>350</v>
      </c>
      <c r="C336" s="169" t="s">
        <v>351</v>
      </c>
      <c r="D336" s="170"/>
      <c r="E336" s="171"/>
      <c r="F336" s="172">
        <f>SUM(F337)</f>
        <v>15943</v>
      </c>
      <c r="G336" s="172">
        <f>SUM(G337)</f>
        <v>678</v>
      </c>
      <c r="H336" s="172">
        <f>SUM(H337)</f>
        <v>16621</v>
      </c>
      <c r="I336" s="188">
        <v>5000</v>
      </c>
      <c r="J336" s="189"/>
      <c r="K336" s="189">
        <v>5000</v>
      </c>
      <c r="L336" s="172">
        <f>SUM(L337)+I336</f>
        <v>20943</v>
      </c>
      <c r="M336" s="172">
        <f>SUM(M337)</f>
        <v>0</v>
      </c>
      <c r="N336" s="172">
        <f>SUM(N337)+K336</f>
        <v>21621</v>
      </c>
      <c r="O336" s="178"/>
      <c r="P336" s="92"/>
    </row>
    <row r="337" spans="1:17" ht="18.75" x14ac:dyDescent="0.2">
      <c r="A337" s="42"/>
      <c r="B337" s="168" t="s">
        <v>348</v>
      </c>
      <c r="C337" s="169" t="s">
        <v>352</v>
      </c>
      <c r="D337" s="170"/>
      <c r="E337" s="171"/>
      <c r="F337" s="172">
        <f>F338+F339</f>
        <v>15943</v>
      </c>
      <c r="G337" s="172">
        <f>G338+G339</f>
        <v>678</v>
      </c>
      <c r="H337" s="172">
        <f>H338+H339</f>
        <v>16621</v>
      </c>
      <c r="I337" s="188"/>
      <c r="J337" s="189"/>
      <c r="K337" s="189"/>
      <c r="L337" s="172">
        <f>SUM(F337)+I337</f>
        <v>15943</v>
      </c>
      <c r="M337" s="172"/>
      <c r="N337" s="172">
        <f>SUM(H337)+K337</f>
        <v>16621</v>
      </c>
      <c r="O337" s="178"/>
      <c r="P337" s="92"/>
    </row>
    <row r="338" spans="1:17" ht="31.5" x14ac:dyDescent="0.2">
      <c r="A338" s="42"/>
      <c r="B338" s="168" t="s">
        <v>35</v>
      </c>
      <c r="C338" s="169" t="s">
        <v>352</v>
      </c>
      <c r="D338" s="170" t="s">
        <v>36</v>
      </c>
      <c r="E338" s="171"/>
      <c r="F338" s="172">
        <v>14129</v>
      </c>
      <c r="G338" s="172">
        <v>678</v>
      </c>
      <c r="H338" s="172">
        <f>SUM(F338:G338)</f>
        <v>14807</v>
      </c>
      <c r="I338" s="188"/>
      <c r="J338" s="189"/>
      <c r="K338" s="188">
        <f>SUM(I338)</f>
        <v>0</v>
      </c>
      <c r="L338" s="172">
        <f>SUM(F338)+I338</f>
        <v>14129</v>
      </c>
      <c r="M338" s="172"/>
      <c r="N338" s="172">
        <f>SUM(H338)+K338</f>
        <v>14807</v>
      </c>
      <c r="O338" s="178"/>
      <c r="P338" s="92"/>
    </row>
    <row r="339" spans="1:17" ht="31.5" x14ac:dyDescent="0.2">
      <c r="A339" s="42"/>
      <c r="B339" s="168" t="s">
        <v>131</v>
      </c>
      <c r="C339" s="169" t="s">
        <v>352</v>
      </c>
      <c r="D339" s="170" t="s">
        <v>132</v>
      </c>
      <c r="E339" s="171"/>
      <c r="F339" s="172">
        <v>1814</v>
      </c>
      <c r="G339" s="172"/>
      <c r="H339" s="172">
        <v>1814</v>
      </c>
      <c r="I339" s="188"/>
      <c r="J339" s="189"/>
      <c r="K339" s="188"/>
      <c r="L339" s="172">
        <f>SUM(F339)</f>
        <v>1814</v>
      </c>
      <c r="M339" s="172">
        <f>SUM(G339)</f>
        <v>0</v>
      </c>
      <c r="N339" s="172">
        <f>SUM(H339)</f>
        <v>1814</v>
      </c>
      <c r="O339" s="178"/>
      <c r="P339" s="92"/>
    </row>
    <row r="340" spans="1:17" ht="31.5" x14ac:dyDescent="0.2">
      <c r="A340" s="42"/>
      <c r="B340" s="168" t="s">
        <v>497</v>
      </c>
      <c r="C340" s="169" t="s">
        <v>496</v>
      </c>
      <c r="D340" s="170"/>
      <c r="E340" s="171"/>
      <c r="F340" s="172"/>
      <c r="G340" s="172"/>
      <c r="H340" s="172"/>
      <c r="I340" s="188">
        <v>5000</v>
      </c>
      <c r="J340" s="189"/>
      <c r="K340" s="188">
        <f>SUM(I340)</f>
        <v>5000</v>
      </c>
      <c r="L340" s="172">
        <f>SUM(I340)</f>
        <v>5000</v>
      </c>
      <c r="M340" s="172"/>
      <c r="N340" s="172">
        <f>SUM(K340)</f>
        <v>5000</v>
      </c>
      <c r="O340" s="178"/>
      <c r="P340" s="92"/>
    </row>
    <row r="341" spans="1:17" ht="31.5" x14ac:dyDescent="0.2">
      <c r="A341" s="42"/>
      <c r="B341" s="168" t="s">
        <v>35</v>
      </c>
      <c r="C341" s="169" t="s">
        <v>496</v>
      </c>
      <c r="D341" s="170" t="s">
        <v>36</v>
      </c>
      <c r="E341" s="171"/>
      <c r="F341" s="172"/>
      <c r="G341" s="172"/>
      <c r="H341" s="172"/>
      <c r="I341" s="188">
        <v>5000</v>
      </c>
      <c r="J341" s="189"/>
      <c r="K341" s="188">
        <f>SUM(I341)</f>
        <v>5000</v>
      </c>
      <c r="L341" s="172">
        <f>SUM(I341)</f>
        <v>5000</v>
      </c>
      <c r="M341" s="172"/>
      <c r="N341" s="172">
        <f>SUM(K341)</f>
        <v>5000</v>
      </c>
      <c r="O341" s="178"/>
      <c r="P341" s="92"/>
    </row>
    <row r="342" spans="1:17" ht="31.5" x14ac:dyDescent="0.2">
      <c r="A342" s="19" t="s">
        <v>353</v>
      </c>
      <c r="B342" s="182" t="s">
        <v>354</v>
      </c>
      <c r="C342" s="183" t="s">
        <v>355</v>
      </c>
      <c r="D342" s="184" t="s">
        <v>26</v>
      </c>
      <c r="E342" s="185"/>
      <c r="F342" s="186">
        <f t="shared" ref="F342:N342" si="74">F343+F356+F362</f>
        <v>78823.3</v>
      </c>
      <c r="G342" s="186">
        <f t="shared" si="74"/>
        <v>615.20000000000005</v>
      </c>
      <c r="H342" s="186">
        <f t="shared" si="74"/>
        <v>79438.5</v>
      </c>
      <c r="I342" s="187">
        <f t="shared" si="74"/>
        <v>0</v>
      </c>
      <c r="J342" s="186">
        <f t="shared" si="74"/>
        <v>0</v>
      </c>
      <c r="K342" s="187">
        <f t="shared" si="74"/>
        <v>0</v>
      </c>
      <c r="L342" s="186">
        <f t="shared" si="74"/>
        <v>78823.3</v>
      </c>
      <c r="M342" s="186">
        <f t="shared" si="74"/>
        <v>615.20000000000005</v>
      </c>
      <c r="N342" s="186">
        <f t="shared" si="74"/>
        <v>79438.5</v>
      </c>
      <c r="O342" s="178"/>
      <c r="P342" s="92"/>
      <c r="Q342" s="25"/>
    </row>
    <row r="343" spans="1:17" ht="18.75" x14ac:dyDescent="0.2">
      <c r="A343" s="49"/>
      <c r="B343" s="190" t="s">
        <v>356</v>
      </c>
      <c r="C343" s="191" t="s">
        <v>357</v>
      </c>
      <c r="D343" s="192" t="s">
        <v>26</v>
      </c>
      <c r="E343" s="193"/>
      <c r="F343" s="194">
        <f t="shared" ref="F343:N343" si="75">F344+F349</f>
        <v>53814.700000000004</v>
      </c>
      <c r="G343" s="194">
        <f t="shared" si="75"/>
        <v>605.20000000000005</v>
      </c>
      <c r="H343" s="194">
        <f t="shared" si="75"/>
        <v>54419.9</v>
      </c>
      <c r="I343" s="195">
        <f t="shared" si="75"/>
        <v>0</v>
      </c>
      <c r="J343" s="194">
        <f t="shared" si="75"/>
        <v>0</v>
      </c>
      <c r="K343" s="195">
        <f t="shared" si="75"/>
        <v>0</v>
      </c>
      <c r="L343" s="194">
        <f t="shared" si="75"/>
        <v>53814.700000000004</v>
      </c>
      <c r="M343" s="194">
        <f t="shared" si="75"/>
        <v>605.20000000000005</v>
      </c>
      <c r="N343" s="194">
        <f t="shared" si="75"/>
        <v>54419.9</v>
      </c>
      <c r="O343" s="178"/>
      <c r="P343" s="92"/>
      <c r="Q343" s="55"/>
    </row>
    <row r="344" spans="1:17" ht="18.75" x14ac:dyDescent="0.2">
      <c r="A344" s="42"/>
      <c r="B344" s="168" t="s">
        <v>358</v>
      </c>
      <c r="C344" s="169" t="s">
        <v>359</v>
      </c>
      <c r="D344" s="170" t="s">
        <v>26</v>
      </c>
      <c r="E344" s="171"/>
      <c r="F344" s="172">
        <f>F345</f>
        <v>40652.300000000003</v>
      </c>
      <c r="G344" s="172">
        <f>G345</f>
        <v>605.20000000000005</v>
      </c>
      <c r="H344" s="172">
        <f>H345</f>
        <v>41257.5</v>
      </c>
      <c r="I344" s="188">
        <f>I345</f>
        <v>0</v>
      </c>
      <c r="J344" s="189"/>
      <c r="K344" s="188">
        <f>K345</f>
        <v>0</v>
      </c>
      <c r="L344" s="172">
        <f>L345</f>
        <v>40652.300000000003</v>
      </c>
      <c r="M344" s="172">
        <f>M345</f>
        <v>605.20000000000005</v>
      </c>
      <c r="N344" s="172">
        <f>N345</f>
        <v>41257.5</v>
      </c>
      <c r="O344" s="178"/>
      <c r="P344" s="92"/>
    </row>
    <row r="345" spans="1:17" ht="31.5" x14ac:dyDescent="0.2">
      <c r="A345" s="42"/>
      <c r="B345" s="168" t="s">
        <v>39</v>
      </c>
      <c r="C345" s="169" t="s">
        <v>360</v>
      </c>
      <c r="D345" s="170" t="s">
        <v>26</v>
      </c>
      <c r="E345" s="171"/>
      <c r="F345" s="172">
        <f>F346+F347+F348</f>
        <v>40652.300000000003</v>
      </c>
      <c r="G345" s="172">
        <f>G346+G347</f>
        <v>605.20000000000005</v>
      </c>
      <c r="H345" s="172">
        <f>H346+H347+H348</f>
        <v>41257.5</v>
      </c>
      <c r="I345" s="188">
        <f>I346+I347+I348</f>
        <v>0</v>
      </c>
      <c r="J345" s="189"/>
      <c r="K345" s="188">
        <f>K346+K347+K348</f>
        <v>0</v>
      </c>
      <c r="L345" s="172">
        <f>L346+L347+L348</f>
        <v>40652.300000000003</v>
      </c>
      <c r="M345" s="172">
        <f>M346+M347+M348</f>
        <v>605.20000000000005</v>
      </c>
      <c r="N345" s="172">
        <f>N346+N347+N348</f>
        <v>41257.5</v>
      </c>
      <c r="O345" s="178"/>
      <c r="P345" s="92"/>
    </row>
    <row r="346" spans="1:17" ht="64.150000000000006" customHeight="1" x14ac:dyDescent="0.2">
      <c r="A346" s="42"/>
      <c r="B346" s="168" t="s">
        <v>31</v>
      </c>
      <c r="C346" s="169" t="s">
        <v>360</v>
      </c>
      <c r="D346" s="170" t="s">
        <v>32</v>
      </c>
      <c r="E346" s="171"/>
      <c r="F346" s="172">
        <v>27266.5</v>
      </c>
      <c r="G346" s="172">
        <v>260</v>
      </c>
      <c r="H346" s="172">
        <f>SUM(F346)+G346</f>
        <v>27526.5</v>
      </c>
      <c r="I346" s="188">
        <v>0</v>
      </c>
      <c r="J346" s="189"/>
      <c r="K346" s="188">
        <v>0</v>
      </c>
      <c r="L346" s="172">
        <f t="shared" ref="L346:N347" si="76">SUM(F346)</f>
        <v>27266.5</v>
      </c>
      <c r="M346" s="172">
        <f t="shared" si="76"/>
        <v>260</v>
      </c>
      <c r="N346" s="172">
        <f t="shared" si="76"/>
        <v>27526.5</v>
      </c>
      <c r="O346" s="178"/>
      <c r="P346" s="92"/>
    </row>
    <row r="347" spans="1:17" ht="31.5" x14ac:dyDescent="0.2">
      <c r="A347" s="42"/>
      <c r="B347" s="168" t="s">
        <v>35</v>
      </c>
      <c r="C347" s="169" t="s">
        <v>360</v>
      </c>
      <c r="D347" s="170" t="s">
        <v>36</v>
      </c>
      <c r="E347" s="171"/>
      <c r="F347" s="172">
        <v>13308.4</v>
      </c>
      <c r="G347" s="172">
        <f>1000-260+605.2-1000</f>
        <v>345.20000000000005</v>
      </c>
      <c r="H347" s="172">
        <f>SUM(F347)+G347</f>
        <v>13653.6</v>
      </c>
      <c r="I347" s="188">
        <v>0</v>
      </c>
      <c r="J347" s="189"/>
      <c r="K347" s="188">
        <v>0</v>
      </c>
      <c r="L347" s="172">
        <f t="shared" si="76"/>
        <v>13308.4</v>
      </c>
      <c r="M347" s="172">
        <f>SUM(G347)</f>
        <v>345.20000000000005</v>
      </c>
      <c r="N347" s="172">
        <f t="shared" si="76"/>
        <v>13653.6</v>
      </c>
      <c r="O347" s="178"/>
      <c r="P347" s="92"/>
    </row>
    <row r="348" spans="1:17" ht="18.75" x14ac:dyDescent="0.2">
      <c r="A348" s="42"/>
      <c r="B348" s="168" t="s">
        <v>41</v>
      </c>
      <c r="C348" s="169" t="s">
        <v>360</v>
      </c>
      <c r="D348" s="170" t="s">
        <v>42</v>
      </c>
      <c r="E348" s="171"/>
      <c r="F348" s="172">
        <v>77.400000000000006</v>
      </c>
      <c r="G348" s="172"/>
      <c r="H348" s="172">
        <v>77.400000000000006</v>
      </c>
      <c r="I348" s="188">
        <v>0</v>
      </c>
      <c r="J348" s="189"/>
      <c r="K348" s="188">
        <v>0</v>
      </c>
      <c r="L348" s="172">
        <v>77.400000000000006</v>
      </c>
      <c r="M348" s="172"/>
      <c r="N348" s="172">
        <v>77.400000000000006</v>
      </c>
      <c r="O348" s="178"/>
      <c r="P348" s="92"/>
    </row>
    <row r="349" spans="1:17" ht="31.5" x14ac:dyDescent="0.2">
      <c r="A349" s="42"/>
      <c r="B349" s="168" t="s">
        <v>361</v>
      </c>
      <c r="C349" s="169" t="s">
        <v>362</v>
      </c>
      <c r="D349" s="170" t="s">
        <v>26</v>
      </c>
      <c r="E349" s="171"/>
      <c r="F349" s="172">
        <f>F350+F353</f>
        <v>13162.4</v>
      </c>
      <c r="G349" s="172">
        <f>G350+G353</f>
        <v>0</v>
      </c>
      <c r="H349" s="172">
        <f>H350+H353</f>
        <v>13162.4</v>
      </c>
      <c r="I349" s="188">
        <f>I350+I353</f>
        <v>0</v>
      </c>
      <c r="J349" s="189"/>
      <c r="K349" s="188">
        <f>K350+K353</f>
        <v>0</v>
      </c>
      <c r="L349" s="172">
        <f>L350+L353</f>
        <v>13162.4</v>
      </c>
      <c r="M349" s="172">
        <f>M350+M353</f>
        <v>0</v>
      </c>
      <c r="N349" s="172">
        <f>N350+N353</f>
        <v>13162.4</v>
      </c>
      <c r="O349" s="178"/>
      <c r="P349" s="92"/>
    </row>
    <row r="350" spans="1:17" ht="31.5" x14ac:dyDescent="0.2">
      <c r="A350" s="42"/>
      <c r="B350" s="168" t="s">
        <v>39</v>
      </c>
      <c r="C350" s="169" t="s">
        <v>363</v>
      </c>
      <c r="D350" s="170" t="s">
        <v>26</v>
      </c>
      <c r="E350" s="171"/>
      <c r="F350" s="172">
        <f>F351+F352</f>
        <v>10245</v>
      </c>
      <c r="G350" s="172">
        <f>G351+G352</f>
        <v>0</v>
      </c>
      <c r="H350" s="172">
        <f>H351+H352</f>
        <v>10245</v>
      </c>
      <c r="I350" s="188">
        <f>I351+I352</f>
        <v>0</v>
      </c>
      <c r="J350" s="189"/>
      <c r="K350" s="188">
        <f>K351+K352</f>
        <v>0</v>
      </c>
      <c r="L350" s="172">
        <f>L351+L352</f>
        <v>10245</v>
      </c>
      <c r="M350" s="172">
        <f>M351+M352</f>
        <v>0</v>
      </c>
      <c r="N350" s="172">
        <f>N351+N352</f>
        <v>10245</v>
      </c>
      <c r="O350" s="178"/>
      <c r="P350" s="92"/>
    </row>
    <row r="351" spans="1:17" ht="64.150000000000006" customHeight="1" x14ac:dyDescent="0.2">
      <c r="A351" s="42"/>
      <c r="B351" s="168" t="s">
        <v>31</v>
      </c>
      <c r="C351" s="169" t="s">
        <v>363</v>
      </c>
      <c r="D351" s="170" t="s">
        <v>32</v>
      </c>
      <c r="E351" s="171"/>
      <c r="F351" s="172">
        <v>9545</v>
      </c>
      <c r="G351" s="172"/>
      <c r="H351" s="172">
        <f>SUM(F351)</f>
        <v>9545</v>
      </c>
      <c r="I351" s="188">
        <v>0</v>
      </c>
      <c r="J351" s="189"/>
      <c r="K351" s="188">
        <v>0</v>
      </c>
      <c r="L351" s="172">
        <f>SUM(F351)</f>
        <v>9545</v>
      </c>
      <c r="M351" s="172">
        <f>SUM(G351)</f>
        <v>0</v>
      </c>
      <c r="N351" s="172">
        <f>SUM(H351)</f>
        <v>9545</v>
      </c>
      <c r="O351" s="178"/>
      <c r="P351" s="92"/>
    </row>
    <row r="352" spans="1:17" ht="31.5" x14ac:dyDescent="0.2">
      <c r="A352" s="42"/>
      <c r="B352" s="168" t="s">
        <v>35</v>
      </c>
      <c r="C352" s="169" t="s">
        <v>363</v>
      </c>
      <c r="D352" s="170" t="s">
        <v>36</v>
      </c>
      <c r="E352" s="171"/>
      <c r="F352" s="172">
        <v>700</v>
      </c>
      <c r="G352" s="172"/>
      <c r="H352" s="172">
        <v>700</v>
      </c>
      <c r="I352" s="188">
        <v>0</v>
      </c>
      <c r="J352" s="189"/>
      <c r="K352" s="188">
        <v>0</v>
      </c>
      <c r="L352" s="172">
        <v>700</v>
      </c>
      <c r="M352" s="172"/>
      <c r="N352" s="172">
        <v>700</v>
      </c>
      <c r="O352" s="178"/>
      <c r="P352" s="92"/>
    </row>
    <row r="353" spans="1:16" ht="31.5" x14ac:dyDescent="0.2">
      <c r="A353" s="42"/>
      <c r="B353" s="168" t="s">
        <v>364</v>
      </c>
      <c r="C353" s="169" t="s">
        <v>365</v>
      </c>
      <c r="D353" s="170" t="s">
        <v>26</v>
      </c>
      <c r="E353" s="171"/>
      <c r="F353" s="172">
        <f>F354+F355</f>
        <v>2917.4</v>
      </c>
      <c r="G353" s="172">
        <f>SUM(G354)+G355</f>
        <v>0</v>
      </c>
      <c r="H353" s="172">
        <f>H354+H355</f>
        <v>2917.4</v>
      </c>
      <c r="I353" s="188">
        <f>I354+I355</f>
        <v>0</v>
      </c>
      <c r="J353" s="189"/>
      <c r="K353" s="188">
        <f>K354+K355</f>
        <v>0</v>
      </c>
      <c r="L353" s="172">
        <f>SUM(F353)</f>
        <v>2917.4</v>
      </c>
      <c r="M353" s="172">
        <f>SUM(M354)+M355</f>
        <v>0</v>
      </c>
      <c r="N353" s="172">
        <f>M353+L353</f>
        <v>2917.4</v>
      </c>
      <c r="O353" s="178"/>
      <c r="P353" s="92"/>
    </row>
    <row r="354" spans="1:16" ht="31.5" x14ac:dyDescent="0.2">
      <c r="A354" s="42"/>
      <c r="B354" s="168" t="s">
        <v>35</v>
      </c>
      <c r="C354" s="169" t="s">
        <v>365</v>
      </c>
      <c r="D354" s="170" t="s">
        <v>36</v>
      </c>
      <c r="E354" s="171"/>
      <c r="F354" s="172">
        <v>1943</v>
      </c>
      <c r="G354" s="172"/>
      <c r="H354" s="172">
        <v>1943</v>
      </c>
      <c r="I354" s="188">
        <v>0</v>
      </c>
      <c r="J354" s="189"/>
      <c r="K354" s="188">
        <v>0</v>
      </c>
      <c r="L354" s="172">
        <v>1403</v>
      </c>
      <c r="M354" s="172">
        <f>SUM(G354)</f>
        <v>0</v>
      </c>
      <c r="N354" s="172">
        <f>1403+M354</f>
        <v>1403</v>
      </c>
      <c r="O354" s="178"/>
      <c r="P354" s="92"/>
    </row>
    <row r="355" spans="1:16" ht="18.75" x14ac:dyDescent="0.2">
      <c r="A355" s="42"/>
      <c r="B355" s="168" t="s">
        <v>41</v>
      </c>
      <c r="C355" s="169" t="s">
        <v>365</v>
      </c>
      <c r="D355" s="170" t="s">
        <v>42</v>
      </c>
      <c r="E355" s="171"/>
      <c r="F355" s="172">
        <v>974.4</v>
      </c>
      <c r="G355" s="172"/>
      <c r="H355" s="172">
        <v>974.4</v>
      </c>
      <c r="I355" s="188">
        <v>0</v>
      </c>
      <c r="J355" s="189"/>
      <c r="K355" s="188">
        <v>0</v>
      </c>
      <c r="L355" s="172">
        <f>SUM(F355)</f>
        <v>974.4</v>
      </c>
      <c r="M355" s="172">
        <f>SUM(G355)</f>
        <v>0</v>
      </c>
      <c r="N355" s="172">
        <f>SUM(L355:M355)</f>
        <v>974.4</v>
      </c>
      <c r="O355" s="178"/>
      <c r="P355" s="92"/>
    </row>
    <row r="356" spans="1:16" ht="18.75" x14ac:dyDescent="0.2">
      <c r="A356" s="49"/>
      <c r="B356" s="190" t="s">
        <v>366</v>
      </c>
      <c r="C356" s="191" t="s">
        <v>367</v>
      </c>
      <c r="D356" s="192" t="s">
        <v>26</v>
      </c>
      <c r="E356" s="193"/>
      <c r="F356" s="194">
        <f t="shared" ref="F356:N356" si="77">F357</f>
        <v>210.5</v>
      </c>
      <c r="G356" s="194">
        <f t="shared" si="77"/>
        <v>10</v>
      </c>
      <c r="H356" s="194">
        <f t="shared" si="77"/>
        <v>220.5</v>
      </c>
      <c r="I356" s="195">
        <f t="shared" si="77"/>
        <v>0</v>
      </c>
      <c r="J356" s="194">
        <f t="shared" si="77"/>
        <v>0</v>
      </c>
      <c r="K356" s="195">
        <f t="shared" si="77"/>
        <v>0</v>
      </c>
      <c r="L356" s="194">
        <f t="shared" si="77"/>
        <v>210.5</v>
      </c>
      <c r="M356" s="194">
        <f t="shared" si="77"/>
        <v>10</v>
      </c>
      <c r="N356" s="194">
        <f t="shared" si="77"/>
        <v>220.5</v>
      </c>
      <c r="O356" s="178"/>
      <c r="P356" s="92"/>
    </row>
    <row r="357" spans="1:16" ht="39" customHeight="1" x14ac:dyDescent="0.2">
      <c r="A357" s="42"/>
      <c r="B357" s="168" t="s">
        <v>368</v>
      </c>
      <c r="C357" s="169" t="s">
        <v>369</v>
      </c>
      <c r="D357" s="170" t="s">
        <v>26</v>
      </c>
      <c r="E357" s="171"/>
      <c r="F357" s="172">
        <f>F358+F360</f>
        <v>210.5</v>
      </c>
      <c r="G357" s="172">
        <f>G358+G360</f>
        <v>10</v>
      </c>
      <c r="H357" s="172">
        <f>H358+H360</f>
        <v>220.5</v>
      </c>
      <c r="I357" s="188">
        <f>I358+I360</f>
        <v>0</v>
      </c>
      <c r="J357" s="189"/>
      <c r="K357" s="188">
        <f>K358+K360</f>
        <v>0</v>
      </c>
      <c r="L357" s="172">
        <f>L358+L360</f>
        <v>210.5</v>
      </c>
      <c r="M357" s="172">
        <f>M358+M360</f>
        <v>10</v>
      </c>
      <c r="N357" s="172">
        <f>N358+N360</f>
        <v>220.5</v>
      </c>
      <c r="O357" s="178"/>
      <c r="P357" s="92"/>
    </row>
    <row r="358" spans="1:16" ht="18.75" x14ac:dyDescent="0.2">
      <c r="A358" s="42"/>
      <c r="B358" s="168" t="s">
        <v>370</v>
      </c>
      <c r="C358" s="169" t="s">
        <v>371</v>
      </c>
      <c r="D358" s="170" t="s">
        <v>26</v>
      </c>
      <c r="E358" s="171"/>
      <c r="F358" s="172">
        <f>F359</f>
        <v>10.5</v>
      </c>
      <c r="G358" s="172">
        <f>G359</f>
        <v>10</v>
      </c>
      <c r="H358" s="172">
        <f>H359</f>
        <v>20.5</v>
      </c>
      <c r="I358" s="188">
        <f>I359</f>
        <v>0</v>
      </c>
      <c r="J358" s="189"/>
      <c r="K358" s="188">
        <f>K359</f>
        <v>0</v>
      </c>
      <c r="L358" s="172">
        <f>L359</f>
        <v>10.5</v>
      </c>
      <c r="M358" s="172">
        <f>M359</f>
        <v>10</v>
      </c>
      <c r="N358" s="172">
        <f>N359</f>
        <v>20.5</v>
      </c>
      <c r="O358" s="178"/>
      <c r="P358" s="92"/>
    </row>
    <row r="359" spans="1:16" ht="22.15" customHeight="1" x14ac:dyDescent="0.2">
      <c r="A359" s="42"/>
      <c r="B359" s="168" t="s">
        <v>372</v>
      </c>
      <c r="C359" s="169" t="s">
        <v>371</v>
      </c>
      <c r="D359" s="170" t="s">
        <v>373</v>
      </c>
      <c r="E359" s="171"/>
      <c r="F359" s="172">
        <v>10.5</v>
      </c>
      <c r="G359" s="172">
        <v>10</v>
      </c>
      <c r="H359" s="172">
        <f>10.5+G359</f>
        <v>20.5</v>
      </c>
      <c r="I359" s="188">
        <v>0</v>
      </c>
      <c r="J359" s="189"/>
      <c r="K359" s="188">
        <v>0</v>
      </c>
      <c r="L359" s="172">
        <f>SUM(F359)</f>
        <v>10.5</v>
      </c>
      <c r="M359" s="172">
        <f>SUM(G359)</f>
        <v>10</v>
      </c>
      <c r="N359" s="172">
        <f>SUM(H359)</f>
        <v>20.5</v>
      </c>
      <c r="O359" s="178"/>
      <c r="P359" s="92"/>
    </row>
    <row r="360" spans="1:16" ht="31.5" x14ac:dyDescent="0.2">
      <c r="A360" s="42"/>
      <c r="B360" s="168" t="s">
        <v>374</v>
      </c>
      <c r="C360" s="169" t="s">
        <v>375</v>
      </c>
      <c r="D360" s="170" t="s">
        <v>26</v>
      </c>
      <c r="E360" s="171"/>
      <c r="F360" s="172">
        <f>F361</f>
        <v>200</v>
      </c>
      <c r="G360" s="172">
        <f>G361</f>
        <v>0</v>
      </c>
      <c r="H360" s="172">
        <f>H361</f>
        <v>200</v>
      </c>
      <c r="I360" s="188">
        <f>I361</f>
        <v>0</v>
      </c>
      <c r="J360" s="189"/>
      <c r="K360" s="188">
        <f>K361</f>
        <v>0</v>
      </c>
      <c r="L360" s="172">
        <f>L361</f>
        <v>200</v>
      </c>
      <c r="M360" s="172">
        <f>M361</f>
        <v>0</v>
      </c>
      <c r="N360" s="172">
        <f>N361</f>
        <v>200</v>
      </c>
      <c r="O360" s="178"/>
      <c r="P360" s="92"/>
    </row>
    <row r="361" spans="1:16" ht="31.5" x14ac:dyDescent="0.2">
      <c r="A361" s="42"/>
      <c r="B361" s="168" t="s">
        <v>35</v>
      </c>
      <c r="C361" s="169" t="s">
        <v>375</v>
      </c>
      <c r="D361" s="170" t="s">
        <v>36</v>
      </c>
      <c r="E361" s="171"/>
      <c r="F361" s="172">
        <v>200</v>
      </c>
      <c r="G361" s="172"/>
      <c r="H361" s="172">
        <f>200+G361</f>
        <v>200</v>
      </c>
      <c r="I361" s="188">
        <v>0</v>
      </c>
      <c r="J361" s="189"/>
      <c r="K361" s="188">
        <v>0</v>
      </c>
      <c r="L361" s="172">
        <v>200</v>
      </c>
      <c r="M361" s="172">
        <f>SUM(G361)</f>
        <v>0</v>
      </c>
      <c r="N361" s="172">
        <f>200+M361</f>
        <v>200</v>
      </c>
      <c r="O361" s="178"/>
      <c r="P361" s="92"/>
    </row>
    <row r="362" spans="1:16" ht="31.5" x14ac:dyDescent="0.2">
      <c r="A362" s="49"/>
      <c r="B362" s="190" t="s">
        <v>376</v>
      </c>
      <c r="C362" s="191" t="s">
        <v>377</v>
      </c>
      <c r="D362" s="192" t="s">
        <v>26</v>
      </c>
      <c r="E362" s="193"/>
      <c r="F362" s="194">
        <f>F363+F367+F370+F375</f>
        <v>24798.100000000002</v>
      </c>
      <c r="G362" s="194">
        <f>G363+G367+G370+G374</f>
        <v>0</v>
      </c>
      <c r="H362" s="194">
        <f>H363+H367+H370+H375</f>
        <v>24798.100000000002</v>
      </c>
      <c r="I362" s="195">
        <f t="shared" ref="I362:K362" si="78">I363+I367+I370</f>
        <v>0</v>
      </c>
      <c r="J362" s="194">
        <f t="shared" si="78"/>
        <v>0</v>
      </c>
      <c r="K362" s="195">
        <f t="shared" si="78"/>
        <v>0</v>
      </c>
      <c r="L362" s="194">
        <f>L363+L367+L370+L375</f>
        <v>24798.100000000002</v>
      </c>
      <c r="M362" s="194">
        <f>M363+M367+M370+M374</f>
        <v>0</v>
      </c>
      <c r="N362" s="194">
        <f>N363+N367+N370+N375</f>
        <v>24798.100000000002</v>
      </c>
      <c r="O362" s="178"/>
      <c r="P362" s="92"/>
    </row>
    <row r="363" spans="1:16" ht="37.9" customHeight="1" x14ac:dyDescent="0.2">
      <c r="A363" s="42"/>
      <c r="B363" s="168" t="s">
        <v>378</v>
      </c>
      <c r="C363" s="169" t="s">
        <v>379</v>
      </c>
      <c r="D363" s="170" t="s">
        <v>26</v>
      </c>
      <c r="E363" s="171"/>
      <c r="F363" s="172">
        <f>F364</f>
        <v>3784.2</v>
      </c>
      <c r="G363" s="172">
        <f>G364</f>
        <v>0</v>
      </c>
      <c r="H363" s="172">
        <f>H364</f>
        <v>3784.2</v>
      </c>
      <c r="I363" s="188">
        <f>I364</f>
        <v>0</v>
      </c>
      <c r="J363" s="189"/>
      <c r="K363" s="188">
        <f>K364</f>
        <v>0</v>
      </c>
      <c r="L363" s="172">
        <f>L364</f>
        <v>3784.2</v>
      </c>
      <c r="M363" s="172">
        <f>M364</f>
        <v>0</v>
      </c>
      <c r="N363" s="172">
        <f>N364</f>
        <v>3784.2</v>
      </c>
      <c r="O363" s="178"/>
      <c r="P363" s="92"/>
    </row>
    <row r="364" spans="1:16" ht="31.5" x14ac:dyDescent="0.2">
      <c r="A364" s="42"/>
      <c r="B364" s="168" t="s">
        <v>93</v>
      </c>
      <c r="C364" s="169" t="s">
        <v>380</v>
      </c>
      <c r="D364" s="170" t="s">
        <v>26</v>
      </c>
      <c r="E364" s="171"/>
      <c r="F364" s="172">
        <f>F365+F366</f>
        <v>3784.2</v>
      </c>
      <c r="G364" s="172">
        <f>G365+G366</f>
        <v>0</v>
      </c>
      <c r="H364" s="172">
        <f>H365+H366</f>
        <v>3784.2</v>
      </c>
      <c r="I364" s="188">
        <f>I365+I366</f>
        <v>0</v>
      </c>
      <c r="J364" s="189"/>
      <c r="K364" s="188">
        <f>K365+K366</f>
        <v>0</v>
      </c>
      <c r="L364" s="172">
        <f>L365+L366</f>
        <v>3784.2</v>
      </c>
      <c r="M364" s="172">
        <f>M365+M366</f>
        <v>0</v>
      </c>
      <c r="N364" s="172">
        <f>N365+N366</f>
        <v>3784.2</v>
      </c>
      <c r="O364" s="178"/>
      <c r="P364" s="92"/>
    </row>
    <row r="365" spans="1:16" ht="64.900000000000006" customHeight="1" x14ac:dyDescent="0.2">
      <c r="A365" s="42"/>
      <c r="B365" s="168" t="s">
        <v>31</v>
      </c>
      <c r="C365" s="169" t="s">
        <v>380</v>
      </c>
      <c r="D365" s="170" t="s">
        <v>32</v>
      </c>
      <c r="E365" s="171"/>
      <c r="F365" s="172">
        <v>3766.6</v>
      </c>
      <c r="G365" s="172"/>
      <c r="H365" s="172">
        <f>SUM(F365)</f>
        <v>3766.6</v>
      </c>
      <c r="I365" s="188">
        <v>0</v>
      </c>
      <c r="J365" s="189"/>
      <c r="K365" s="188">
        <v>0</v>
      </c>
      <c r="L365" s="172">
        <f t="shared" ref="L365:N366" si="79">SUM(F365)</f>
        <v>3766.6</v>
      </c>
      <c r="M365" s="172">
        <f t="shared" si="79"/>
        <v>0</v>
      </c>
      <c r="N365" s="172">
        <f t="shared" si="79"/>
        <v>3766.6</v>
      </c>
      <c r="O365" s="178"/>
      <c r="P365" s="92"/>
    </row>
    <row r="366" spans="1:16" ht="31.5" x14ac:dyDescent="0.2">
      <c r="A366" s="42"/>
      <c r="B366" s="168" t="s">
        <v>35</v>
      </c>
      <c r="C366" s="169" t="s">
        <v>380</v>
      </c>
      <c r="D366" s="170" t="s">
        <v>36</v>
      </c>
      <c r="E366" s="171"/>
      <c r="F366" s="172">
        <v>17.600000000000001</v>
      </c>
      <c r="G366" s="215"/>
      <c r="H366" s="172">
        <f>SUM(F366)</f>
        <v>17.600000000000001</v>
      </c>
      <c r="I366" s="188">
        <v>0</v>
      </c>
      <c r="J366" s="189"/>
      <c r="K366" s="188">
        <v>0</v>
      </c>
      <c r="L366" s="172">
        <f t="shared" si="79"/>
        <v>17.600000000000001</v>
      </c>
      <c r="M366" s="172">
        <f t="shared" si="79"/>
        <v>0</v>
      </c>
      <c r="N366" s="172">
        <f t="shared" si="79"/>
        <v>17.600000000000001</v>
      </c>
      <c r="O366" s="178"/>
      <c r="P366" s="92"/>
    </row>
    <row r="367" spans="1:16" ht="47.25" x14ac:dyDescent="0.2">
      <c r="A367" s="42"/>
      <c r="B367" s="168" t="s">
        <v>381</v>
      </c>
      <c r="C367" s="169" t="s">
        <v>382</v>
      </c>
      <c r="D367" s="170" t="s">
        <v>26</v>
      </c>
      <c r="E367" s="171"/>
      <c r="F367" s="172">
        <f t="shared" ref="F367:N368" si="80">F368</f>
        <v>11636.5</v>
      </c>
      <c r="G367" s="172">
        <f t="shared" si="80"/>
        <v>0</v>
      </c>
      <c r="H367" s="172">
        <f t="shared" si="80"/>
        <v>11636.5</v>
      </c>
      <c r="I367" s="188">
        <f t="shared" si="80"/>
        <v>0</v>
      </c>
      <c r="J367" s="189"/>
      <c r="K367" s="188">
        <f t="shared" si="80"/>
        <v>0</v>
      </c>
      <c r="L367" s="172">
        <f t="shared" si="80"/>
        <v>11636.5</v>
      </c>
      <c r="M367" s="172">
        <f t="shared" si="80"/>
        <v>0</v>
      </c>
      <c r="N367" s="172">
        <f t="shared" si="80"/>
        <v>11636.5</v>
      </c>
      <c r="O367" s="178"/>
      <c r="P367" s="92"/>
    </row>
    <row r="368" spans="1:16" ht="31.5" x14ac:dyDescent="0.2">
      <c r="A368" s="42"/>
      <c r="B368" s="168" t="s">
        <v>39</v>
      </c>
      <c r="C368" s="169" t="s">
        <v>383</v>
      </c>
      <c r="D368" s="170" t="s">
        <v>26</v>
      </c>
      <c r="E368" s="171"/>
      <c r="F368" s="172">
        <f t="shared" si="80"/>
        <v>11636.5</v>
      </c>
      <c r="G368" s="172">
        <f t="shared" si="80"/>
        <v>0</v>
      </c>
      <c r="H368" s="172">
        <f t="shared" si="80"/>
        <v>11636.5</v>
      </c>
      <c r="I368" s="188">
        <f t="shared" si="80"/>
        <v>0</v>
      </c>
      <c r="J368" s="189"/>
      <c r="K368" s="188">
        <f t="shared" si="80"/>
        <v>0</v>
      </c>
      <c r="L368" s="172">
        <f t="shared" si="80"/>
        <v>11636.5</v>
      </c>
      <c r="M368" s="172">
        <f t="shared" si="80"/>
        <v>0</v>
      </c>
      <c r="N368" s="172">
        <f t="shared" si="80"/>
        <v>11636.5</v>
      </c>
      <c r="O368" s="178"/>
      <c r="P368" s="92"/>
    </row>
    <row r="369" spans="1:16" ht="31.5" x14ac:dyDescent="0.2">
      <c r="A369" s="42"/>
      <c r="B369" s="168" t="s">
        <v>74</v>
      </c>
      <c r="C369" s="169" t="s">
        <v>383</v>
      </c>
      <c r="D369" s="170" t="s">
        <v>75</v>
      </c>
      <c r="E369" s="171"/>
      <c r="F369" s="172">
        <v>11636.5</v>
      </c>
      <c r="G369" s="172"/>
      <c r="H369" s="172">
        <f>SUM(F369)</f>
        <v>11636.5</v>
      </c>
      <c r="I369" s="188">
        <v>0</v>
      </c>
      <c r="J369" s="189"/>
      <c r="K369" s="188">
        <v>0</v>
      </c>
      <c r="L369" s="172">
        <f>SUM(F369)</f>
        <v>11636.5</v>
      </c>
      <c r="M369" s="172">
        <f>SUM(G369)</f>
        <v>0</v>
      </c>
      <c r="N369" s="172">
        <f>SUM(L369)</f>
        <v>11636.5</v>
      </c>
      <c r="O369" s="178"/>
      <c r="P369" s="92"/>
    </row>
    <row r="370" spans="1:16" ht="36.6" customHeight="1" x14ac:dyDescent="0.2">
      <c r="A370" s="42"/>
      <c r="B370" s="168" t="s">
        <v>384</v>
      </c>
      <c r="C370" s="169" t="s">
        <v>385</v>
      </c>
      <c r="D370" s="170" t="s">
        <v>26</v>
      </c>
      <c r="E370" s="171"/>
      <c r="F370" s="172">
        <f>F371</f>
        <v>1517.4</v>
      </c>
      <c r="G370" s="172">
        <f>G371</f>
        <v>0</v>
      </c>
      <c r="H370" s="172">
        <f>H371</f>
        <v>1517.4</v>
      </c>
      <c r="I370" s="188">
        <f>I371</f>
        <v>0</v>
      </c>
      <c r="J370" s="189"/>
      <c r="K370" s="188">
        <f>K371</f>
        <v>0</v>
      </c>
      <c r="L370" s="172">
        <f>L371</f>
        <v>1517.4</v>
      </c>
      <c r="M370" s="172">
        <f>M371</f>
        <v>0</v>
      </c>
      <c r="N370" s="172">
        <f>N371</f>
        <v>1517.4</v>
      </c>
      <c r="O370" s="178"/>
      <c r="P370" s="92"/>
    </row>
    <row r="371" spans="1:16" ht="36" customHeight="1" x14ac:dyDescent="0.2">
      <c r="A371" s="42"/>
      <c r="B371" s="168" t="s">
        <v>386</v>
      </c>
      <c r="C371" s="169" t="s">
        <v>387</v>
      </c>
      <c r="D371" s="170" t="s">
        <v>26</v>
      </c>
      <c r="E371" s="171"/>
      <c r="F371" s="172">
        <f>F372+F373</f>
        <v>1517.4</v>
      </c>
      <c r="G371" s="172">
        <f>G372+G373</f>
        <v>0</v>
      </c>
      <c r="H371" s="172">
        <f>H372+H373</f>
        <v>1517.4</v>
      </c>
      <c r="I371" s="188">
        <f>I372+I373</f>
        <v>0</v>
      </c>
      <c r="J371" s="189"/>
      <c r="K371" s="188">
        <f>K372+K373</f>
        <v>0</v>
      </c>
      <c r="L371" s="172">
        <f>L372+L373</f>
        <v>1517.4</v>
      </c>
      <c r="M371" s="172">
        <f>M372+M373</f>
        <v>0</v>
      </c>
      <c r="N371" s="172">
        <f>SUM(L371)+M371</f>
        <v>1517.4</v>
      </c>
      <c r="O371" s="178"/>
      <c r="P371" s="92"/>
    </row>
    <row r="372" spans="1:16" ht="31.5" x14ac:dyDescent="0.2">
      <c r="A372" s="42"/>
      <c r="B372" s="168" t="s">
        <v>35</v>
      </c>
      <c r="C372" s="169" t="s">
        <v>387</v>
      </c>
      <c r="D372" s="170" t="s">
        <v>36</v>
      </c>
      <c r="E372" s="171"/>
      <c r="F372" s="172">
        <v>1517.4</v>
      </c>
      <c r="G372" s="172"/>
      <c r="H372" s="172">
        <f>SUM(F372)+G372</f>
        <v>1517.4</v>
      </c>
      <c r="I372" s="188">
        <v>0</v>
      </c>
      <c r="J372" s="189"/>
      <c r="K372" s="188">
        <v>0</v>
      </c>
      <c r="L372" s="172">
        <f>SUM(F372)</f>
        <v>1517.4</v>
      </c>
      <c r="M372" s="172">
        <f>SUM(G372)</f>
        <v>0</v>
      </c>
      <c r="N372" s="172">
        <f>SUM(H372)</f>
        <v>1517.4</v>
      </c>
      <c r="O372" s="178"/>
      <c r="P372" s="92"/>
    </row>
    <row r="373" spans="1:16" ht="18.75" x14ac:dyDescent="0.2">
      <c r="A373" s="42"/>
      <c r="B373" s="168" t="s">
        <v>41</v>
      </c>
      <c r="C373" s="169" t="s">
        <v>387</v>
      </c>
      <c r="D373" s="170" t="s">
        <v>42</v>
      </c>
      <c r="E373" s="171"/>
      <c r="F373" s="172">
        <v>0</v>
      </c>
      <c r="G373" s="172"/>
      <c r="H373" s="172"/>
      <c r="I373" s="188">
        <v>0</v>
      </c>
      <c r="J373" s="189"/>
      <c r="K373" s="188">
        <v>0</v>
      </c>
      <c r="L373" s="172"/>
      <c r="M373" s="172">
        <f>SUM(G373)</f>
        <v>0</v>
      </c>
      <c r="N373" s="172"/>
      <c r="O373" s="178"/>
      <c r="P373" s="92"/>
    </row>
    <row r="374" spans="1:16" ht="0.75" customHeight="1" x14ac:dyDescent="0.2">
      <c r="A374" s="42"/>
      <c r="B374" s="168" t="s">
        <v>490</v>
      </c>
      <c r="C374" s="169" t="s">
        <v>385</v>
      </c>
      <c r="D374" s="170"/>
      <c r="E374" s="171"/>
      <c r="F374" s="172"/>
      <c r="G374" s="172">
        <f>SUM(G376)</f>
        <v>0</v>
      </c>
      <c r="H374" s="172">
        <f>SUM(G374)</f>
        <v>0</v>
      </c>
      <c r="I374" s="188"/>
      <c r="J374" s="189"/>
      <c r="K374" s="188"/>
      <c r="L374" s="172"/>
      <c r="M374" s="172">
        <f>SUM(G374)</f>
        <v>0</v>
      </c>
      <c r="N374" s="172">
        <f>SUM(H374)</f>
        <v>0</v>
      </c>
      <c r="O374" s="178"/>
      <c r="P374" s="92"/>
    </row>
    <row r="375" spans="1:16" ht="47.25" x14ac:dyDescent="0.2">
      <c r="A375" s="42"/>
      <c r="B375" s="168" t="s">
        <v>492</v>
      </c>
      <c r="C375" s="169" t="s">
        <v>494</v>
      </c>
      <c r="D375" s="170"/>
      <c r="E375" s="171"/>
      <c r="F375" s="172">
        <v>7860</v>
      </c>
      <c r="G375" s="172">
        <f>SUM(G376)</f>
        <v>0</v>
      </c>
      <c r="H375" s="172">
        <f>SUM(F375)</f>
        <v>7860</v>
      </c>
      <c r="I375" s="188"/>
      <c r="J375" s="189"/>
      <c r="K375" s="188"/>
      <c r="L375" s="172">
        <f>SUM(F375)</f>
        <v>7860</v>
      </c>
      <c r="M375" s="172">
        <f>SUM(G375)</f>
        <v>0</v>
      </c>
      <c r="N375" s="172">
        <f>SUM(H375)</f>
        <v>7860</v>
      </c>
      <c r="O375" s="178"/>
      <c r="P375" s="92"/>
    </row>
    <row r="376" spans="1:16" ht="31.5" x14ac:dyDescent="0.2">
      <c r="A376" s="42"/>
      <c r="B376" s="168" t="s">
        <v>131</v>
      </c>
      <c r="C376" s="169" t="s">
        <v>494</v>
      </c>
      <c r="D376" s="170" t="s">
        <v>132</v>
      </c>
      <c r="E376" s="171"/>
      <c r="F376" s="172">
        <v>7860</v>
      </c>
      <c r="G376" s="172"/>
      <c r="H376" s="172">
        <f>SUM(F376)</f>
        <v>7860</v>
      </c>
      <c r="I376" s="188"/>
      <c r="J376" s="189"/>
      <c r="K376" s="188"/>
      <c r="L376" s="172">
        <f>SUM(F376)</f>
        <v>7860</v>
      </c>
      <c r="M376" s="172">
        <f>SUM(G376)</f>
        <v>0</v>
      </c>
      <c r="N376" s="172">
        <f>SUM(H376)</f>
        <v>7860</v>
      </c>
      <c r="O376" s="178"/>
      <c r="P376" s="92"/>
    </row>
    <row r="377" spans="1:16" ht="18.75" x14ac:dyDescent="0.2">
      <c r="A377" s="19" t="s">
        <v>388</v>
      </c>
      <c r="B377" s="182" t="s">
        <v>389</v>
      </c>
      <c r="C377" s="183" t="s">
        <v>390</v>
      </c>
      <c r="D377" s="184" t="s">
        <v>26</v>
      </c>
      <c r="E377" s="185"/>
      <c r="F377" s="186">
        <f t="shared" ref="F377:N379" si="81">F378</f>
        <v>1383.6</v>
      </c>
      <c r="G377" s="186">
        <f t="shared" si="81"/>
        <v>0</v>
      </c>
      <c r="H377" s="186">
        <f t="shared" si="81"/>
        <v>1383.6</v>
      </c>
      <c r="I377" s="187">
        <f t="shared" si="81"/>
        <v>0</v>
      </c>
      <c r="J377" s="186">
        <f>J378</f>
        <v>0</v>
      </c>
      <c r="K377" s="187">
        <f t="shared" si="81"/>
        <v>0</v>
      </c>
      <c r="L377" s="186">
        <f t="shared" si="81"/>
        <v>1383.6</v>
      </c>
      <c r="M377" s="186">
        <f t="shared" si="81"/>
        <v>0</v>
      </c>
      <c r="N377" s="186">
        <f t="shared" si="81"/>
        <v>1383.6</v>
      </c>
      <c r="O377" s="178"/>
      <c r="P377" s="92"/>
    </row>
    <row r="378" spans="1:16" ht="51.6" customHeight="1" x14ac:dyDescent="0.2">
      <c r="A378" s="42"/>
      <c r="B378" s="168" t="s">
        <v>391</v>
      </c>
      <c r="C378" s="169" t="s">
        <v>392</v>
      </c>
      <c r="D378" s="170" t="s">
        <v>26</v>
      </c>
      <c r="E378" s="171"/>
      <c r="F378" s="172">
        <f t="shared" si="81"/>
        <v>1383.6</v>
      </c>
      <c r="G378" s="172">
        <f t="shared" si="81"/>
        <v>0</v>
      </c>
      <c r="H378" s="172">
        <f t="shared" si="81"/>
        <v>1383.6</v>
      </c>
      <c r="I378" s="188">
        <f t="shared" si="81"/>
        <v>0</v>
      </c>
      <c r="J378" s="189"/>
      <c r="K378" s="188">
        <f t="shared" si="81"/>
        <v>0</v>
      </c>
      <c r="L378" s="172">
        <f t="shared" si="81"/>
        <v>1383.6</v>
      </c>
      <c r="M378" s="172">
        <f t="shared" si="81"/>
        <v>0</v>
      </c>
      <c r="N378" s="172">
        <f t="shared" si="81"/>
        <v>1383.6</v>
      </c>
      <c r="O378" s="178"/>
      <c r="P378" s="92"/>
    </row>
    <row r="379" spans="1:16" ht="31.5" x14ac:dyDescent="0.2">
      <c r="A379" s="42"/>
      <c r="B379" s="168" t="s">
        <v>393</v>
      </c>
      <c r="C379" s="169" t="s">
        <v>394</v>
      </c>
      <c r="D379" s="170" t="s">
        <v>26</v>
      </c>
      <c r="E379" s="171"/>
      <c r="F379" s="172">
        <f t="shared" si="81"/>
        <v>1383.6</v>
      </c>
      <c r="G379" s="172">
        <f t="shared" si="81"/>
        <v>0</v>
      </c>
      <c r="H379" s="172">
        <f t="shared" si="81"/>
        <v>1383.6</v>
      </c>
      <c r="I379" s="188">
        <f t="shared" si="81"/>
        <v>0</v>
      </c>
      <c r="J379" s="189"/>
      <c r="K379" s="188">
        <f t="shared" si="81"/>
        <v>0</v>
      </c>
      <c r="L379" s="172">
        <f t="shared" si="81"/>
        <v>1383.6</v>
      </c>
      <c r="M379" s="172">
        <f t="shared" si="81"/>
        <v>0</v>
      </c>
      <c r="N379" s="172">
        <f t="shared" si="81"/>
        <v>1383.6</v>
      </c>
      <c r="O379" s="178"/>
      <c r="P379" s="92"/>
    </row>
    <row r="380" spans="1:16" ht="31.5" x14ac:dyDescent="0.2">
      <c r="A380" s="42"/>
      <c r="B380" s="168" t="s">
        <v>35</v>
      </c>
      <c r="C380" s="169" t="s">
        <v>394</v>
      </c>
      <c r="D380" s="170" t="s">
        <v>36</v>
      </c>
      <c r="E380" s="171"/>
      <c r="F380" s="172">
        <v>1383.6</v>
      </c>
      <c r="G380" s="172"/>
      <c r="H380" s="172">
        <f>SUM(F380)+G380</f>
        <v>1383.6</v>
      </c>
      <c r="I380" s="188">
        <v>0</v>
      </c>
      <c r="J380" s="189"/>
      <c r="K380" s="188">
        <v>0</v>
      </c>
      <c r="L380" s="172">
        <f>SUM(F380)</f>
        <v>1383.6</v>
      </c>
      <c r="M380" s="172">
        <f>SUM(G380)</f>
        <v>0</v>
      </c>
      <c r="N380" s="172">
        <f>SUM(H380)</f>
        <v>1383.6</v>
      </c>
      <c r="O380" s="178"/>
      <c r="P380" s="92"/>
    </row>
    <row r="381" spans="1:16" ht="49.15" customHeight="1" x14ac:dyDescent="0.2">
      <c r="A381" s="19" t="s">
        <v>395</v>
      </c>
      <c r="B381" s="182" t="s">
        <v>396</v>
      </c>
      <c r="C381" s="183" t="s">
        <v>397</v>
      </c>
      <c r="D381" s="184" t="s">
        <v>26</v>
      </c>
      <c r="E381" s="185"/>
      <c r="F381" s="186">
        <f t="shared" ref="F381:N383" si="82">F382</f>
        <v>1150.3</v>
      </c>
      <c r="G381" s="186">
        <f t="shared" si="82"/>
        <v>164.5</v>
      </c>
      <c r="H381" s="186">
        <f t="shared" si="82"/>
        <v>1314.8</v>
      </c>
      <c r="I381" s="187">
        <f t="shared" si="82"/>
        <v>0</v>
      </c>
      <c r="J381" s="186">
        <f>J382</f>
        <v>0</v>
      </c>
      <c r="K381" s="187">
        <f t="shared" si="82"/>
        <v>0</v>
      </c>
      <c r="L381" s="186">
        <f t="shared" si="82"/>
        <v>1150.3</v>
      </c>
      <c r="M381" s="186">
        <f t="shared" si="82"/>
        <v>164.5</v>
      </c>
      <c r="N381" s="186">
        <f t="shared" si="82"/>
        <v>1314.8</v>
      </c>
      <c r="O381" s="178"/>
      <c r="P381" s="92"/>
    </row>
    <row r="382" spans="1:16" ht="30.6" customHeight="1" x14ac:dyDescent="0.2">
      <c r="A382" s="42"/>
      <c r="B382" s="168" t="s">
        <v>398</v>
      </c>
      <c r="C382" s="169" t="s">
        <v>399</v>
      </c>
      <c r="D382" s="170" t="s">
        <v>26</v>
      </c>
      <c r="E382" s="171"/>
      <c r="F382" s="172">
        <f>F383+F386</f>
        <v>1150.3</v>
      </c>
      <c r="G382" s="172">
        <f>G383+G386</f>
        <v>164.5</v>
      </c>
      <c r="H382" s="172">
        <f>H383+H386</f>
        <v>1314.8</v>
      </c>
      <c r="I382" s="188">
        <f t="shared" si="82"/>
        <v>0</v>
      </c>
      <c r="J382" s="189"/>
      <c r="K382" s="188">
        <f t="shared" si="82"/>
        <v>0</v>
      </c>
      <c r="L382" s="172">
        <f>SUM(F382)</f>
        <v>1150.3</v>
      </c>
      <c r="M382" s="172">
        <f>SUM(G382)</f>
        <v>164.5</v>
      </c>
      <c r="N382" s="172">
        <f>N383+N386</f>
        <v>1314.8</v>
      </c>
      <c r="O382" s="178"/>
      <c r="P382" s="92"/>
    </row>
    <row r="383" spans="1:16" ht="49.15" customHeight="1" x14ac:dyDescent="0.2">
      <c r="A383" s="42"/>
      <c r="B383" s="168" t="s">
        <v>400</v>
      </c>
      <c r="C383" s="169" t="s">
        <v>401</v>
      </c>
      <c r="D383" s="170" t="s">
        <v>26</v>
      </c>
      <c r="E383" s="171"/>
      <c r="F383" s="172">
        <f t="shared" si="82"/>
        <v>385.4</v>
      </c>
      <c r="G383" s="172">
        <f>G384+G385</f>
        <v>164.5</v>
      </c>
      <c r="H383" s="172">
        <f t="shared" si="82"/>
        <v>549.9</v>
      </c>
      <c r="I383" s="188">
        <f t="shared" si="82"/>
        <v>0</v>
      </c>
      <c r="J383" s="189"/>
      <c r="K383" s="188">
        <f t="shared" si="82"/>
        <v>0</v>
      </c>
      <c r="L383" s="172">
        <f t="shared" si="82"/>
        <v>385.4</v>
      </c>
      <c r="M383" s="172">
        <f t="shared" si="82"/>
        <v>164.5</v>
      </c>
      <c r="N383" s="172">
        <f t="shared" si="82"/>
        <v>549.9</v>
      </c>
      <c r="O383" s="178"/>
      <c r="P383" s="92"/>
    </row>
    <row r="384" spans="1:16" ht="31.5" x14ac:dyDescent="0.2">
      <c r="A384" s="57"/>
      <c r="B384" s="216" t="s">
        <v>35</v>
      </c>
      <c r="C384" s="217" t="s">
        <v>401</v>
      </c>
      <c r="D384" s="170" t="s">
        <v>36</v>
      </c>
      <c r="E384" s="171"/>
      <c r="F384" s="172">
        <v>385.4</v>
      </c>
      <c r="G384" s="172">
        <v>164.5</v>
      </c>
      <c r="H384" s="172">
        <f>SUM(F384:G384)</f>
        <v>549.9</v>
      </c>
      <c r="I384" s="188">
        <v>0</v>
      </c>
      <c r="J384" s="189"/>
      <c r="K384" s="188">
        <v>0</v>
      </c>
      <c r="L384" s="172">
        <f t="shared" ref="L384:N387" si="83">SUM(F384)</f>
        <v>385.4</v>
      </c>
      <c r="M384" s="172">
        <f t="shared" si="83"/>
        <v>164.5</v>
      </c>
      <c r="N384" s="172">
        <f t="shared" si="83"/>
        <v>549.9</v>
      </c>
      <c r="O384" s="178"/>
      <c r="P384" s="92"/>
    </row>
    <row r="385" spans="1:16" ht="18.75" x14ac:dyDescent="0.2">
      <c r="A385" s="133"/>
      <c r="B385" s="168" t="s">
        <v>54</v>
      </c>
      <c r="C385" s="217" t="s">
        <v>401</v>
      </c>
      <c r="D385" s="170" t="s">
        <v>55</v>
      </c>
      <c r="E385" s="171"/>
      <c r="F385" s="172">
        <v>200</v>
      </c>
      <c r="G385" s="172"/>
      <c r="H385" s="172">
        <f>SUM(F385)</f>
        <v>200</v>
      </c>
      <c r="I385" s="189"/>
      <c r="J385" s="189"/>
      <c r="K385" s="189"/>
      <c r="L385" s="172">
        <f>SUM(F385)</f>
        <v>200</v>
      </c>
      <c r="M385" s="172">
        <f>SUM(G385)</f>
        <v>0</v>
      </c>
      <c r="N385" s="172">
        <f>SUM(H385)</f>
        <v>200</v>
      </c>
      <c r="O385" s="178"/>
      <c r="P385" s="92"/>
    </row>
    <row r="386" spans="1:16" ht="31.5" x14ac:dyDescent="0.2">
      <c r="A386" s="133"/>
      <c r="B386" s="197" t="s">
        <v>402</v>
      </c>
      <c r="C386" s="169" t="s">
        <v>403</v>
      </c>
      <c r="D386" s="170"/>
      <c r="E386" s="171"/>
      <c r="F386" s="219">
        <v>764.9</v>
      </c>
      <c r="G386" s="172"/>
      <c r="H386" s="172">
        <f>SUM(F386)+G386</f>
        <v>764.9</v>
      </c>
      <c r="I386" s="189"/>
      <c r="J386" s="189"/>
      <c r="K386" s="189"/>
      <c r="L386" s="172">
        <f t="shared" si="83"/>
        <v>764.9</v>
      </c>
      <c r="M386" s="172">
        <f t="shared" si="83"/>
        <v>0</v>
      </c>
      <c r="N386" s="172">
        <f t="shared" si="83"/>
        <v>764.9</v>
      </c>
      <c r="O386" s="178"/>
      <c r="P386" s="92"/>
    </row>
    <row r="387" spans="1:16" ht="32.25" thickBot="1" x14ac:dyDescent="0.25">
      <c r="A387" s="133"/>
      <c r="B387" s="216" t="s">
        <v>35</v>
      </c>
      <c r="C387" s="169" t="s">
        <v>403</v>
      </c>
      <c r="D387" s="218" t="s">
        <v>36</v>
      </c>
      <c r="E387" s="218"/>
      <c r="F387" s="219">
        <v>764.9</v>
      </c>
      <c r="G387" s="219"/>
      <c r="H387" s="219">
        <f>SUM(F387)+G387</f>
        <v>764.9</v>
      </c>
      <c r="I387" s="220"/>
      <c r="J387" s="220"/>
      <c r="K387" s="220"/>
      <c r="L387" s="219">
        <f t="shared" si="83"/>
        <v>764.9</v>
      </c>
      <c r="M387" s="219">
        <f t="shared" si="83"/>
        <v>0</v>
      </c>
      <c r="N387" s="219">
        <f t="shared" si="83"/>
        <v>764.9</v>
      </c>
      <c r="O387" s="178"/>
      <c r="P387" s="92"/>
    </row>
    <row r="388" spans="1:16" ht="16.5" customHeight="1" thickBot="1" x14ac:dyDescent="0.25">
      <c r="A388" s="26" t="s">
        <v>404</v>
      </c>
      <c r="B388" s="447" t="s">
        <v>405</v>
      </c>
      <c r="C388" s="448"/>
      <c r="D388" s="449"/>
      <c r="E388" s="261"/>
      <c r="F388" s="222">
        <f>F389+F393+F399+F415</f>
        <v>46156.800000000003</v>
      </c>
      <c r="G388" s="222">
        <f t="shared" ref="G388:N388" si="84">G389+G393+G399+G415</f>
        <v>0</v>
      </c>
      <c r="H388" s="222">
        <f>H389+H393+H399+H415</f>
        <v>46156.800000000003</v>
      </c>
      <c r="I388" s="223">
        <f t="shared" si="84"/>
        <v>768.1</v>
      </c>
      <c r="J388" s="222">
        <f t="shared" si="84"/>
        <v>0</v>
      </c>
      <c r="K388" s="223">
        <f t="shared" si="84"/>
        <v>768.1</v>
      </c>
      <c r="L388" s="222">
        <f t="shared" si="84"/>
        <v>46924.9</v>
      </c>
      <c r="M388" s="222">
        <f t="shared" si="84"/>
        <v>0</v>
      </c>
      <c r="N388" s="222">
        <f t="shared" si="84"/>
        <v>46924.9</v>
      </c>
      <c r="O388" s="178"/>
      <c r="P388" s="92"/>
    </row>
    <row r="389" spans="1:16" ht="31.5" x14ac:dyDescent="0.2">
      <c r="A389" s="16" t="s">
        <v>406</v>
      </c>
      <c r="B389" s="224" t="s">
        <v>407</v>
      </c>
      <c r="C389" s="225" t="s">
        <v>408</v>
      </c>
      <c r="D389" s="226" t="s">
        <v>26</v>
      </c>
      <c r="E389" s="227"/>
      <c r="F389" s="228">
        <f t="shared" ref="F389:N391" si="85">F390</f>
        <v>2268.1</v>
      </c>
      <c r="G389" s="228">
        <f t="shared" si="85"/>
        <v>0</v>
      </c>
      <c r="H389" s="228">
        <f t="shared" si="85"/>
        <v>2268.1</v>
      </c>
      <c r="I389" s="229">
        <f t="shared" si="85"/>
        <v>0</v>
      </c>
      <c r="J389" s="228">
        <f>J390</f>
        <v>0</v>
      </c>
      <c r="K389" s="229">
        <f t="shared" si="85"/>
        <v>0</v>
      </c>
      <c r="L389" s="228">
        <f t="shared" si="85"/>
        <v>2268.1</v>
      </c>
      <c r="M389" s="228">
        <f t="shared" si="85"/>
        <v>0</v>
      </c>
      <c r="N389" s="228">
        <f t="shared" si="85"/>
        <v>2268.1</v>
      </c>
      <c r="O389" s="178"/>
      <c r="P389" s="92"/>
    </row>
    <row r="390" spans="1:16" ht="22.15" customHeight="1" x14ac:dyDescent="0.2">
      <c r="A390" s="49"/>
      <c r="B390" s="190" t="s">
        <v>409</v>
      </c>
      <c r="C390" s="191" t="s">
        <v>410</v>
      </c>
      <c r="D390" s="192" t="s">
        <v>26</v>
      </c>
      <c r="E390" s="193"/>
      <c r="F390" s="230">
        <f t="shared" si="85"/>
        <v>2268.1</v>
      </c>
      <c r="G390" s="230">
        <f t="shared" si="85"/>
        <v>0</v>
      </c>
      <c r="H390" s="230">
        <f t="shared" si="85"/>
        <v>2268.1</v>
      </c>
      <c r="I390" s="231">
        <f t="shared" si="85"/>
        <v>0</v>
      </c>
      <c r="J390" s="230">
        <f>J391</f>
        <v>0</v>
      </c>
      <c r="K390" s="231">
        <f t="shared" si="85"/>
        <v>0</v>
      </c>
      <c r="L390" s="230">
        <f t="shared" si="85"/>
        <v>2268.1</v>
      </c>
      <c r="M390" s="230">
        <f t="shared" si="85"/>
        <v>0</v>
      </c>
      <c r="N390" s="230">
        <f t="shared" si="85"/>
        <v>2268.1</v>
      </c>
      <c r="O390" s="178"/>
      <c r="P390" s="92"/>
    </row>
    <row r="391" spans="1:16" ht="31.5" x14ac:dyDescent="0.2">
      <c r="A391" s="42"/>
      <c r="B391" s="168" t="s">
        <v>93</v>
      </c>
      <c r="C391" s="169" t="s">
        <v>411</v>
      </c>
      <c r="D391" s="170" t="s">
        <v>26</v>
      </c>
      <c r="E391" s="171"/>
      <c r="F391" s="232">
        <f t="shared" si="85"/>
        <v>2268.1</v>
      </c>
      <c r="G391" s="232">
        <f t="shared" si="85"/>
        <v>0</v>
      </c>
      <c r="H391" s="232">
        <f t="shared" si="85"/>
        <v>2268.1</v>
      </c>
      <c r="I391" s="233">
        <f t="shared" si="85"/>
        <v>0</v>
      </c>
      <c r="J391" s="234"/>
      <c r="K391" s="233">
        <f t="shared" si="85"/>
        <v>0</v>
      </c>
      <c r="L391" s="232">
        <f t="shared" si="85"/>
        <v>2268.1</v>
      </c>
      <c r="M391" s="232">
        <f t="shared" si="85"/>
        <v>0</v>
      </c>
      <c r="N391" s="232">
        <f t="shared" si="85"/>
        <v>2268.1</v>
      </c>
      <c r="O391" s="178"/>
      <c r="P391" s="92"/>
    </row>
    <row r="392" spans="1:16" ht="69" customHeight="1" x14ac:dyDescent="0.2">
      <c r="A392" s="42"/>
      <c r="B392" s="168" t="s">
        <v>31</v>
      </c>
      <c r="C392" s="169" t="s">
        <v>411</v>
      </c>
      <c r="D392" s="170" t="s">
        <v>32</v>
      </c>
      <c r="E392" s="171"/>
      <c r="F392" s="232">
        <v>2268.1</v>
      </c>
      <c r="G392" s="232"/>
      <c r="H392" s="232">
        <f>SUM(F392)</f>
        <v>2268.1</v>
      </c>
      <c r="I392" s="233">
        <v>0</v>
      </c>
      <c r="J392" s="234"/>
      <c r="K392" s="233">
        <v>0</v>
      </c>
      <c r="L392" s="232">
        <f>SUM(F392)</f>
        <v>2268.1</v>
      </c>
      <c r="M392" s="232">
        <f>SUM(G392)</f>
        <v>0</v>
      </c>
      <c r="N392" s="232">
        <f>SUM(H392)</f>
        <v>2268.1</v>
      </c>
      <c r="O392" s="178"/>
      <c r="P392" s="92"/>
    </row>
    <row r="393" spans="1:16" ht="31.5" x14ac:dyDescent="0.2">
      <c r="A393" s="19" t="s">
        <v>412</v>
      </c>
      <c r="B393" s="182" t="s">
        <v>413</v>
      </c>
      <c r="C393" s="183" t="s">
        <v>414</v>
      </c>
      <c r="D393" s="184" t="s">
        <v>26</v>
      </c>
      <c r="E393" s="185"/>
      <c r="F393" s="235">
        <f t="shared" ref="F393:N393" si="86">F394</f>
        <v>1601.8999999999999</v>
      </c>
      <c r="G393" s="235">
        <f t="shared" si="86"/>
        <v>0</v>
      </c>
      <c r="H393" s="235">
        <f t="shared" si="86"/>
        <v>1601.8999999999999</v>
      </c>
      <c r="I393" s="236">
        <f t="shared" si="86"/>
        <v>0</v>
      </c>
      <c r="J393" s="235">
        <f t="shared" si="86"/>
        <v>0</v>
      </c>
      <c r="K393" s="236">
        <f t="shared" si="86"/>
        <v>0</v>
      </c>
      <c r="L393" s="235">
        <f t="shared" si="86"/>
        <v>1601.8999999999999</v>
      </c>
      <c r="M393" s="235">
        <f t="shared" si="86"/>
        <v>0</v>
      </c>
      <c r="N393" s="235">
        <f t="shared" si="86"/>
        <v>1601.8999999999999</v>
      </c>
      <c r="O393" s="178"/>
      <c r="P393" s="92"/>
    </row>
    <row r="394" spans="1:16" ht="31.5" x14ac:dyDescent="0.2">
      <c r="A394" s="49"/>
      <c r="B394" s="190" t="s">
        <v>415</v>
      </c>
      <c r="C394" s="191" t="s">
        <v>416</v>
      </c>
      <c r="D394" s="192" t="s">
        <v>26</v>
      </c>
      <c r="E394" s="193"/>
      <c r="F394" s="230">
        <f t="shared" ref="F394:N394" si="87">F395+F397</f>
        <v>1601.8999999999999</v>
      </c>
      <c r="G394" s="230">
        <f t="shared" si="87"/>
        <v>0</v>
      </c>
      <c r="H394" s="230">
        <f t="shared" si="87"/>
        <v>1601.8999999999999</v>
      </c>
      <c r="I394" s="231">
        <f t="shared" si="87"/>
        <v>0</v>
      </c>
      <c r="J394" s="230">
        <f t="shared" si="87"/>
        <v>0</v>
      </c>
      <c r="K394" s="231">
        <f t="shared" si="87"/>
        <v>0</v>
      </c>
      <c r="L394" s="230">
        <f t="shared" si="87"/>
        <v>1601.8999999999999</v>
      </c>
      <c r="M394" s="230">
        <f t="shared" si="87"/>
        <v>0</v>
      </c>
      <c r="N394" s="230">
        <f t="shared" si="87"/>
        <v>1601.8999999999999</v>
      </c>
      <c r="O394" s="178"/>
      <c r="P394" s="92"/>
    </row>
    <row r="395" spans="1:16" ht="31.5" x14ac:dyDescent="0.2">
      <c r="A395" s="42"/>
      <c r="B395" s="168" t="s">
        <v>93</v>
      </c>
      <c r="C395" s="169" t="s">
        <v>417</v>
      </c>
      <c r="D395" s="170" t="s">
        <v>26</v>
      </c>
      <c r="E395" s="171"/>
      <c r="F395" s="232">
        <f>F396</f>
        <v>8.1</v>
      </c>
      <c r="G395" s="232">
        <f>G396</f>
        <v>0</v>
      </c>
      <c r="H395" s="232">
        <f>H396</f>
        <v>8.1</v>
      </c>
      <c r="I395" s="233">
        <f>I396</f>
        <v>0</v>
      </c>
      <c r="J395" s="234"/>
      <c r="K395" s="233">
        <f>K396</f>
        <v>0</v>
      </c>
      <c r="L395" s="232">
        <f>L396</f>
        <v>8.1</v>
      </c>
      <c r="M395" s="232">
        <f>M396</f>
        <v>0</v>
      </c>
      <c r="N395" s="232">
        <f>N396</f>
        <v>8.1</v>
      </c>
      <c r="O395" s="178"/>
      <c r="P395" s="92"/>
    </row>
    <row r="396" spans="1:16" ht="31.5" x14ac:dyDescent="0.2">
      <c r="A396" s="42"/>
      <c r="B396" s="168" t="s">
        <v>35</v>
      </c>
      <c r="C396" s="169" t="s">
        <v>417</v>
      </c>
      <c r="D396" s="170" t="s">
        <v>36</v>
      </c>
      <c r="E396" s="171"/>
      <c r="F396" s="232">
        <f>8+0.1</f>
        <v>8.1</v>
      </c>
      <c r="G396" s="232"/>
      <c r="H396" s="232">
        <f>8+0.1</f>
        <v>8.1</v>
      </c>
      <c r="I396" s="233">
        <v>0</v>
      </c>
      <c r="J396" s="234"/>
      <c r="K396" s="233">
        <v>0</v>
      </c>
      <c r="L396" s="232">
        <f>8+0.1</f>
        <v>8.1</v>
      </c>
      <c r="M396" s="232"/>
      <c r="N396" s="232">
        <f>8+0.1</f>
        <v>8.1</v>
      </c>
      <c r="O396" s="178"/>
      <c r="P396" s="92"/>
    </row>
    <row r="397" spans="1:16" ht="50.45" customHeight="1" x14ac:dyDescent="0.2">
      <c r="A397" s="42"/>
      <c r="B397" s="168" t="s">
        <v>418</v>
      </c>
      <c r="C397" s="169" t="s">
        <v>419</v>
      </c>
      <c r="D397" s="170" t="s">
        <v>26</v>
      </c>
      <c r="E397" s="171"/>
      <c r="F397" s="232">
        <f>F398</f>
        <v>1593.8</v>
      </c>
      <c r="G397" s="232">
        <f>G398</f>
        <v>0</v>
      </c>
      <c r="H397" s="232">
        <f>H398</f>
        <v>1593.8</v>
      </c>
      <c r="I397" s="233">
        <f>I398</f>
        <v>0</v>
      </c>
      <c r="J397" s="234"/>
      <c r="K397" s="233">
        <f>K398</f>
        <v>0</v>
      </c>
      <c r="L397" s="232">
        <f>L398</f>
        <v>1593.8</v>
      </c>
      <c r="M397" s="232">
        <f>M398</f>
        <v>0</v>
      </c>
      <c r="N397" s="232">
        <f>N398</f>
        <v>1593.8</v>
      </c>
      <c r="O397" s="178"/>
      <c r="P397" s="92"/>
    </row>
    <row r="398" spans="1:16" ht="18.75" x14ac:dyDescent="0.2">
      <c r="A398" s="42"/>
      <c r="B398" s="168" t="s">
        <v>278</v>
      </c>
      <c r="C398" s="169" t="s">
        <v>419</v>
      </c>
      <c r="D398" s="170" t="s">
        <v>279</v>
      </c>
      <c r="E398" s="171"/>
      <c r="F398" s="232">
        <v>1593.8</v>
      </c>
      <c r="G398" s="232"/>
      <c r="H398" s="232">
        <f>SUM(F398)</f>
        <v>1593.8</v>
      </c>
      <c r="I398" s="233">
        <v>0</v>
      </c>
      <c r="J398" s="234"/>
      <c r="K398" s="233">
        <v>0</v>
      </c>
      <c r="L398" s="232">
        <f>SUM(F398)</f>
        <v>1593.8</v>
      </c>
      <c r="M398" s="232">
        <f>SUM(G398)</f>
        <v>0</v>
      </c>
      <c r="N398" s="232">
        <f>SUM(H398)</f>
        <v>1593.8</v>
      </c>
      <c r="O398" s="178"/>
      <c r="P398" s="92"/>
    </row>
    <row r="399" spans="1:16" ht="31.5" x14ac:dyDescent="0.2">
      <c r="A399" s="19" t="s">
        <v>420</v>
      </c>
      <c r="B399" s="182" t="s">
        <v>421</v>
      </c>
      <c r="C399" s="183" t="s">
        <v>422</v>
      </c>
      <c r="D399" s="184" t="s">
        <v>26</v>
      </c>
      <c r="E399" s="185"/>
      <c r="F399" s="235">
        <f t="shared" ref="F399:N399" si="88">F400+F405+F411</f>
        <v>41421.5</v>
      </c>
      <c r="G399" s="235">
        <f t="shared" si="88"/>
        <v>0</v>
      </c>
      <c r="H399" s="235">
        <f t="shared" si="88"/>
        <v>41421.5</v>
      </c>
      <c r="I399" s="236">
        <f t="shared" si="88"/>
        <v>768.1</v>
      </c>
      <c r="J399" s="235">
        <f t="shared" si="88"/>
        <v>0</v>
      </c>
      <c r="K399" s="236">
        <f t="shared" si="88"/>
        <v>768.1</v>
      </c>
      <c r="L399" s="235">
        <f t="shared" si="88"/>
        <v>42189.599999999999</v>
      </c>
      <c r="M399" s="235">
        <f t="shared" si="88"/>
        <v>0</v>
      </c>
      <c r="N399" s="235">
        <f t="shared" si="88"/>
        <v>42189.599999999999</v>
      </c>
      <c r="O399" s="178"/>
      <c r="P399" s="92"/>
    </row>
    <row r="400" spans="1:16" ht="31.5" x14ac:dyDescent="0.2">
      <c r="A400" s="49"/>
      <c r="B400" s="190" t="s">
        <v>423</v>
      </c>
      <c r="C400" s="191" t="s">
        <v>424</v>
      </c>
      <c r="D400" s="192" t="s">
        <v>26</v>
      </c>
      <c r="E400" s="193"/>
      <c r="F400" s="230">
        <f t="shared" ref="F400:N400" si="89">F401</f>
        <v>35728.5</v>
      </c>
      <c r="G400" s="230">
        <f t="shared" si="89"/>
        <v>0</v>
      </c>
      <c r="H400" s="230">
        <f t="shared" si="89"/>
        <v>35728.5</v>
      </c>
      <c r="I400" s="231">
        <f t="shared" si="89"/>
        <v>0</v>
      </c>
      <c r="J400" s="230">
        <f t="shared" si="89"/>
        <v>0</v>
      </c>
      <c r="K400" s="231">
        <f t="shared" si="89"/>
        <v>0</v>
      </c>
      <c r="L400" s="230">
        <f t="shared" si="89"/>
        <v>35728.5</v>
      </c>
      <c r="M400" s="230">
        <f t="shared" si="89"/>
        <v>0</v>
      </c>
      <c r="N400" s="230">
        <f t="shared" si="89"/>
        <v>35728.5</v>
      </c>
      <c r="O400" s="178"/>
      <c r="P400" s="92"/>
    </row>
    <row r="401" spans="1:16" ht="31.5" x14ac:dyDescent="0.2">
      <c r="A401" s="42"/>
      <c r="B401" s="168" t="s">
        <v>93</v>
      </c>
      <c r="C401" s="169" t="s">
        <v>425</v>
      </c>
      <c r="D401" s="170" t="s">
        <v>26</v>
      </c>
      <c r="E401" s="171"/>
      <c r="F401" s="232">
        <f>F402+F403+F404</f>
        <v>35728.5</v>
      </c>
      <c r="G401" s="232">
        <f>G402+G403+G404</f>
        <v>0</v>
      </c>
      <c r="H401" s="232">
        <f>H402+H403+H404</f>
        <v>35728.5</v>
      </c>
      <c r="I401" s="233">
        <f>I402+I403+I404</f>
        <v>0</v>
      </c>
      <c r="J401" s="234"/>
      <c r="K401" s="233">
        <f>K402+K403+K404</f>
        <v>0</v>
      </c>
      <c r="L401" s="232">
        <f>L402+L403+L404</f>
        <v>35728.5</v>
      </c>
      <c r="M401" s="232">
        <f>M402+M403+M404</f>
        <v>0</v>
      </c>
      <c r="N401" s="232">
        <f>N402+N403+N404</f>
        <v>35728.5</v>
      </c>
      <c r="O401" s="178"/>
      <c r="P401" s="92"/>
    </row>
    <row r="402" spans="1:16" ht="70.150000000000006" customHeight="1" x14ac:dyDescent="0.2">
      <c r="A402" s="42"/>
      <c r="B402" s="168" t="s">
        <v>31</v>
      </c>
      <c r="C402" s="169" t="s">
        <v>425</v>
      </c>
      <c r="D402" s="170" t="s">
        <v>32</v>
      </c>
      <c r="E402" s="171"/>
      <c r="F402" s="232">
        <v>35427.800000000003</v>
      </c>
      <c r="G402" s="232"/>
      <c r="H402" s="232">
        <f>SUM(F402)+G402</f>
        <v>35427.800000000003</v>
      </c>
      <c r="I402" s="233">
        <v>0</v>
      </c>
      <c r="J402" s="234"/>
      <c r="K402" s="233">
        <v>0</v>
      </c>
      <c r="L402" s="232">
        <f t="shared" ref="L402:M404" si="90">SUM(F402)</f>
        <v>35427.800000000003</v>
      </c>
      <c r="M402" s="232">
        <f t="shared" si="90"/>
        <v>0</v>
      </c>
      <c r="N402" s="232">
        <f>SUM(M402)+L402</f>
        <v>35427.800000000003</v>
      </c>
      <c r="O402" s="178"/>
      <c r="P402" s="92"/>
    </row>
    <row r="403" spans="1:16" ht="31.5" x14ac:dyDescent="0.2">
      <c r="A403" s="42"/>
      <c r="B403" s="168" t="s">
        <v>35</v>
      </c>
      <c r="C403" s="169" t="s">
        <v>425</v>
      </c>
      <c r="D403" s="170" t="s">
        <v>36</v>
      </c>
      <c r="E403" s="171"/>
      <c r="F403" s="232">
        <v>260.7</v>
      </c>
      <c r="G403" s="232"/>
      <c r="H403" s="232">
        <v>260.7</v>
      </c>
      <c r="I403" s="233">
        <v>0</v>
      </c>
      <c r="J403" s="234"/>
      <c r="K403" s="233">
        <v>0</v>
      </c>
      <c r="L403" s="232">
        <f t="shared" si="90"/>
        <v>260.7</v>
      </c>
      <c r="M403" s="232">
        <f t="shared" si="90"/>
        <v>0</v>
      </c>
      <c r="N403" s="232">
        <f>SUM(H403)</f>
        <v>260.7</v>
      </c>
      <c r="O403" s="178"/>
      <c r="P403" s="92"/>
    </row>
    <row r="404" spans="1:16" ht="18.75" x14ac:dyDescent="0.2">
      <c r="A404" s="42"/>
      <c r="B404" s="168" t="s">
        <v>41</v>
      </c>
      <c r="C404" s="169" t="s">
        <v>425</v>
      </c>
      <c r="D404" s="170" t="s">
        <v>42</v>
      </c>
      <c r="E404" s="171"/>
      <c r="F404" s="232">
        <v>40</v>
      </c>
      <c r="G404" s="232"/>
      <c r="H404" s="232">
        <f>SUM(F404)+G404</f>
        <v>40</v>
      </c>
      <c r="I404" s="233">
        <v>0</v>
      </c>
      <c r="J404" s="234"/>
      <c r="K404" s="233">
        <v>0</v>
      </c>
      <c r="L404" s="232">
        <f t="shared" si="90"/>
        <v>40</v>
      </c>
      <c r="M404" s="232">
        <f t="shared" si="90"/>
        <v>0</v>
      </c>
      <c r="N404" s="232">
        <f>SUM(H404)</f>
        <v>40</v>
      </c>
      <c r="O404" s="178"/>
      <c r="P404" s="92"/>
    </row>
    <row r="405" spans="1:16" ht="21.6" customHeight="1" x14ac:dyDescent="0.2">
      <c r="A405" s="49"/>
      <c r="B405" s="168" t="s">
        <v>426</v>
      </c>
      <c r="C405" s="169" t="s">
        <v>427</v>
      </c>
      <c r="D405" s="170" t="s">
        <v>26</v>
      </c>
      <c r="E405" s="171"/>
      <c r="F405" s="232">
        <f>F409</f>
        <v>0</v>
      </c>
      <c r="G405" s="232">
        <f>G409</f>
        <v>0</v>
      </c>
      <c r="H405" s="232">
        <f>H409</f>
        <v>0</v>
      </c>
      <c r="I405" s="233">
        <f>I409+I406</f>
        <v>768.1</v>
      </c>
      <c r="J405" s="234"/>
      <c r="K405" s="233">
        <f>K409+K406</f>
        <v>768.1</v>
      </c>
      <c r="L405" s="233">
        <f>L409+L406</f>
        <v>768.1</v>
      </c>
      <c r="M405" s="232">
        <f>M409</f>
        <v>0</v>
      </c>
      <c r="N405" s="233">
        <f>N409+N406</f>
        <v>768.1</v>
      </c>
      <c r="O405" s="178"/>
      <c r="P405" s="92"/>
    </row>
    <row r="406" spans="1:16" ht="125.45" customHeight="1" x14ac:dyDescent="0.2">
      <c r="A406" s="49"/>
      <c r="B406" s="237" t="s">
        <v>428</v>
      </c>
      <c r="C406" s="169" t="s">
        <v>429</v>
      </c>
      <c r="D406" s="170"/>
      <c r="E406" s="171"/>
      <c r="F406" s="232"/>
      <c r="G406" s="232"/>
      <c r="H406" s="232"/>
      <c r="I406" s="233">
        <f>SUM(I407+I408)</f>
        <v>755.7</v>
      </c>
      <c r="J406" s="234"/>
      <c r="K406" s="233">
        <f>SUM(I406)</f>
        <v>755.7</v>
      </c>
      <c r="L406" s="233">
        <f>SUM(L407+L408)</f>
        <v>755.7</v>
      </c>
      <c r="M406" s="232"/>
      <c r="N406" s="233">
        <f>SUM(N407+N408)</f>
        <v>755.7</v>
      </c>
      <c r="O406" s="178"/>
      <c r="P406" s="92"/>
    </row>
    <row r="407" spans="1:16" ht="66" customHeight="1" x14ac:dyDescent="0.2">
      <c r="A407" s="49"/>
      <c r="B407" s="168" t="s">
        <v>31</v>
      </c>
      <c r="C407" s="169" t="s">
        <v>429</v>
      </c>
      <c r="D407" s="170" t="s">
        <v>32</v>
      </c>
      <c r="E407" s="171"/>
      <c r="F407" s="232"/>
      <c r="G407" s="232"/>
      <c r="H407" s="232"/>
      <c r="I407" s="233">
        <v>755.7</v>
      </c>
      <c r="J407" s="234"/>
      <c r="K407" s="233">
        <v>755.7</v>
      </c>
      <c r="L407" s="233">
        <v>674.7</v>
      </c>
      <c r="M407" s="232">
        <f>SUM(J407)</f>
        <v>0</v>
      </c>
      <c r="N407" s="233">
        <f>674.7+M407</f>
        <v>674.7</v>
      </c>
      <c r="O407" s="178"/>
      <c r="P407" s="92"/>
    </row>
    <row r="408" spans="1:16" ht="23.45" customHeight="1" x14ac:dyDescent="0.2">
      <c r="A408" s="49"/>
      <c r="B408" s="168" t="s">
        <v>35</v>
      </c>
      <c r="C408" s="169" t="s">
        <v>429</v>
      </c>
      <c r="D408" s="170" t="s">
        <v>36</v>
      </c>
      <c r="E408" s="171"/>
      <c r="F408" s="232"/>
      <c r="G408" s="232"/>
      <c r="H408" s="232"/>
      <c r="I408" s="233">
        <v>0</v>
      </c>
      <c r="J408" s="234"/>
      <c r="K408" s="233">
        <v>0</v>
      </c>
      <c r="L408" s="233">
        <v>81</v>
      </c>
      <c r="M408" s="232">
        <f>SUM(J408)</f>
        <v>0</v>
      </c>
      <c r="N408" s="233">
        <f>81+M408</f>
        <v>81</v>
      </c>
      <c r="O408" s="178"/>
      <c r="P408" s="92"/>
    </row>
    <row r="409" spans="1:16" ht="47.25" x14ac:dyDescent="0.2">
      <c r="A409" s="42"/>
      <c r="B409" s="168" t="s">
        <v>430</v>
      </c>
      <c r="C409" s="169" t="s">
        <v>431</v>
      </c>
      <c r="D409" s="170" t="s">
        <v>26</v>
      </c>
      <c r="E409" s="171"/>
      <c r="F409" s="232">
        <f t="shared" ref="F409:N409" si="91">F410</f>
        <v>0</v>
      </c>
      <c r="G409" s="232">
        <f t="shared" si="91"/>
        <v>0</v>
      </c>
      <c r="H409" s="232">
        <f t="shared" si="91"/>
        <v>0</v>
      </c>
      <c r="I409" s="233">
        <f t="shared" si="91"/>
        <v>12.4</v>
      </c>
      <c r="J409" s="234"/>
      <c r="K409" s="233">
        <f t="shared" si="91"/>
        <v>12.4</v>
      </c>
      <c r="L409" s="232">
        <f t="shared" si="91"/>
        <v>12.4</v>
      </c>
      <c r="M409" s="232">
        <f t="shared" si="91"/>
        <v>0</v>
      </c>
      <c r="N409" s="232">
        <f t="shared" si="91"/>
        <v>12.4</v>
      </c>
      <c r="O409" s="178"/>
      <c r="P409" s="92"/>
    </row>
    <row r="410" spans="1:16" ht="31.5" x14ac:dyDescent="0.2">
      <c r="A410" s="42"/>
      <c r="B410" s="168" t="s">
        <v>35</v>
      </c>
      <c r="C410" s="169" t="s">
        <v>431</v>
      </c>
      <c r="D410" s="170" t="s">
        <v>36</v>
      </c>
      <c r="E410" s="171"/>
      <c r="F410" s="232">
        <v>0</v>
      </c>
      <c r="G410" s="232">
        <v>0</v>
      </c>
      <c r="H410" s="232">
        <v>0</v>
      </c>
      <c r="I410" s="233">
        <v>12.4</v>
      </c>
      <c r="J410" s="234"/>
      <c r="K410" s="233">
        <v>12.4</v>
      </c>
      <c r="L410" s="232">
        <v>12.4</v>
      </c>
      <c r="M410" s="232">
        <v>0</v>
      </c>
      <c r="N410" s="232">
        <v>12.4</v>
      </c>
      <c r="O410" s="178"/>
      <c r="P410" s="92"/>
    </row>
    <row r="411" spans="1:16" ht="18.75" x14ac:dyDescent="0.2">
      <c r="A411" s="49"/>
      <c r="B411" s="190" t="s">
        <v>432</v>
      </c>
      <c r="C411" s="191" t="s">
        <v>433</v>
      </c>
      <c r="D411" s="192" t="s">
        <v>26</v>
      </c>
      <c r="E411" s="193"/>
      <c r="F411" s="230">
        <f t="shared" ref="F411:N411" si="92">F412</f>
        <v>5693</v>
      </c>
      <c r="G411" s="230">
        <f t="shared" si="92"/>
        <v>0</v>
      </c>
      <c r="H411" s="230">
        <f t="shared" si="92"/>
        <v>5693</v>
      </c>
      <c r="I411" s="231">
        <f t="shared" si="92"/>
        <v>0</v>
      </c>
      <c r="J411" s="230">
        <f t="shared" si="92"/>
        <v>0</v>
      </c>
      <c r="K411" s="231">
        <f t="shared" si="92"/>
        <v>0</v>
      </c>
      <c r="L411" s="230">
        <f t="shared" si="92"/>
        <v>5693</v>
      </c>
      <c r="M411" s="230">
        <f t="shared" si="92"/>
        <v>0</v>
      </c>
      <c r="N411" s="230">
        <f t="shared" si="92"/>
        <v>5693</v>
      </c>
      <c r="O411" s="178"/>
      <c r="P411" s="92"/>
    </row>
    <row r="412" spans="1:16" ht="31.5" x14ac:dyDescent="0.2">
      <c r="A412" s="42"/>
      <c r="B412" s="168" t="s">
        <v>434</v>
      </c>
      <c r="C412" s="169" t="s">
        <v>435</v>
      </c>
      <c r="D412" s="170" t="s">
        <v>26</v>
      </c>
      <c r="E412" s="171"/>
      <c r="F412" s="232">
        <f>F414+F413</f>
        <v>5693</v>
      </c>
      <c r="G412" s="232">
        <f>SUM(G414)+G413</f>
        <v>0</v>
      </c>
      <c r="H412" s="232">
        <f>H414+H413</f>
        <v>5693</v>
      </c>
      <c r="I412" s="233">
        <f>I414</f>
        <v>0</v>
      </c>
      <c r="J412" s="234"/>
      <c r="K412" s="233">
        <f>K414</f>
        <v>0</v>
      </c>
      <c r="L412" s="232">
        <f>SUM(F412)</f>
        <v>5693</v>
      </c>
      <c r="M412" s="232">
        <f>SUM(M414)+M413</f>
        <v>0</v>
      </c>
      <c r="N412" s="232">
        <f>SUM(H412)</f>
        <v>5693</v>
      </c>
      <c r="O412" s="178"/>
      <c r="P412" s="92"/>
    </row>
    <row r="413" spans="1:16" ht="31.5" x14ac:dyDescent="0.2">
      <c r="A413" s="42"/>
      <c r="B413" s="168" t="s">
        <v>35</v>
      </c>
      <c r="C413" s="169" t="s">
        <v>435</v>
      </c>
      <c r="D413" s="170" t="s">
        <v>36</v>
      </c>
      <c r="E413" s="171"/>
      <c r="F413" s="232">
        <v>3645.9</v>
      </c>
      <c r="G413" s="232"/>
      <c r="H413" s="232">
        <f>SUM(F413)+G413</f>
        <v>3645.9</v>
      </c>
      <c r="I413" s="233"/>
      <c r="J413" s="234"/>
      <c r="K413" s="233"/>
      <c r="L413" s="232">
        <f>SUM(F413)</f>
        <v>3645.9</v>
      </c>
      <c r="M413" s="232">
        <f>SUM(G413)</f>
        <v>0</v>
      </c>
      <c r="N413" s="232">
        <f>SUM(H413)</f>
        <v>3645.9</v>
      </c>
      <c r="O413" s="178"/>
      <c r="P413" s="92"/>
    </row>
    <row r="414" spans="1:16" ht="18.75" x14ac:dyDescent="0.2">
      <c r="A414" s="42"/>
      <c r="B414" s="168" t="s">
        <v>41</v>
      </c>
      <c r="C414" s="169" t="s">
        <v>435</v>
      </c>
      <c r="D414" s="170" t="s">
        <v>42</v>
      </c>
      <c r="E414" s="171"/>
      <c r="F414" s="232">
        <v>2047.1</v>
      </c>
      <c r="G414" s="232"/>
      <c r="H414" s="232">
        <v>2047.1</v>
      </c>
      <c r="I414" s="233">
        <v>0</v>
      </c>
      <c r="J414" s="234"/>
      <c r="K414" s="233">
        <v>0</v>
      </c>
      <c r="L414" s="232">
        <f>F414</f>
        <v>2047.1</v>
      </c>
      <c r="M414" s="232">
        <f>SUM(G414)</f>
        <v>0</v>
      </c>
      <c r="N414" s="232">
        <f>L414+M414</f>
        <v>2047.1</v>
      </c>
      <c r="O414" s="178"/>
      <c r="P414" s="92"/>
    </row>
    <row r="415" spans="1:16" ht="37.15" customHeight="1" x14ac:dyDescent="0.2">
      <c r="A415" s="19" t="s">
        <v>436</v>
      </c>
      <c r="B415" s="182" t="s">
        <v>437</v>
      </c>
      <c r="C415" s="183" t="s">
        <v>438</v>
      </c>
      <c r="D415" s="184" t="s">
        <v>26</v>
      </c>
      <c r="E415" s="185"/>
      <c r="F415" s="235">
        <f>F419</f>
        <v>865.3</v>
      </c>
      <c r="G415" s="238">
        <f>G419</f>
        <v>0</v>
      </c>
      <c r="H415" s="238">
        <f>H419</f>
        <v>865.3</v>
      </c>
      <c r="I415" s="236">
        <f>I416</f>
        <v>0</v>
      </c>
      <c r="J415" s="239"/>
      <c r="K415" s="239"/>
      <c r="L415" s="239">
        <f>L419</f>
        <v>865.3</v>
      </c>
      <c r="M415" s="239">
        <f>M419</f>
        <v>0</v>
      </c>
      <c r="N415" s="239">
        <f>N419</f>
        <v>865.3</v>
      </c>
      <c r="O415" s="178"/>
      <c r="P415" s="92"/>
    </row>
    <row r="416" spans="1:16" ht="27.6" hidden="1" customHeight="1" x14ac:dyDescent="0.2">
      <c r="A416" s="42"/>
      <c r="B416" s="168" t="s">
        <v>439</v>
      </c>
      <c r="C416" s="169" t="s">
        <v>440</v>
      </c>
      <c r="D416" s="170" t="s">
        <v>26</v>
      </c>
      <c r="E416" s="171"/>
      <c r="F416" s="232">
        <f>F417</f>
        <v>0</v>
      </c>
      <c r="G416" s="234"/>
      <c r="H416" s="234"/>
      <c r="I416" s="233">
        <f>I417</f>
        <v>0</v>
      </c>
      <c r="J416" s="240"/>
      <c r="K416" s="240"/>
      <c r="L416" s="240"/>
      <c r="M416" s="240"/>
      <c r="N416" s="240">
        <f>N417</f>
        <v>0</v>
      </c>
      <c r="O416" s="178"/>
      <c r="P416" s="92"/>
    </row>
    <row r="417" spans="1:16" ht="24.6" hidden="1" customHeight="1" x14ac:dyDescent="0.2">
      <c r="A417" s="42"/>
      <c r="B417" s="168" t="s">
        <v>441</v>
      </c>
      <c r="C417" s="169" t="s">
        <v>442</v>
      </c>
      <c r="D417" s="170" t="s">
        <v>26</v>
      </c>
      <c r="E417" s="171"/>
      <c r="F417" s="232"/>
      <c r="G417" s="234"/>
      <c r="H417" s="234"/>
      <c r="I417" s="233">
        <f>I423</f>
        <v>0</v>
      </c>
      <c r="J417" s="234"/>
      <c r="K417" s="234"/>
      <c r="L417" s="234"/>
      <c r="M417" s="234"/>
      <c r="N417" s="232"/>
      <c r="O417" s="178"/>
      <c r="P417" s="92"/>
    </row>
    <row r="418" spans="1:16" ht="28.15" hidden="1" customHeight="1" thickBot="1" x14ac:dyDescent="0.25">
      <c r="A418" s="57"/>
      <c r="B418" s="241" t="s">
        <v>41</v>
      </c>
      <c r="C418" s="242" t="s">
        <v>442</v>
      </c>
      <c r="D418" s="170" t="s">
        <v>42</v>
      </c>
      <c r="E418" s="171"/>
      <c r="F418" s="232"/>
      <c r="G418" s="234"/>
      <c r="H418" s="234"/>
      <c r="I418" s="233">
        <v>0</v>
      </c>
      <c r="J418" s="234"/>
      <c r="K418" s="234"/>
      <c r="L418" s="234"/>
      <c r="M418" s="234"/>
      <c r="N418" s="232"/>
      <c r="O418" s="178"/>
      <c r="P418" s="92"/>
    </row>
    <row r="419" spans="1:16" ht="31.5" x14ac:dyDescent="0.2">
      <c r="A419" s="57"/>
      <c r="B419" s="197" t="s">
        <v>439</v>
      </c>
      <c r="C419" s="218" t="s">
        <v>440</v>
      </c>
      <c r="D419" s="218"/>
      <c r="E419" s="218"/>
      <c r="F419" s="233">
        <v>865.3</v>
      </c>
      <c r="G419" s="233">
        <f>SUM(G421)</f>
        <v>0</v>
      </c>
      <c r="H419" s="233">
        <f>SUM(F419)+G419</f>
        <v>865.3</v>
      </c>
      <c r="I419" s="233"/>
      <c r="J419" s="233"/>
      <c r="K419" s="233"/>
      <c r="L419" s="233">
        <f>SUM(F419)</f>
        <v>865.3</v>
      </c>
      <c r="M419" s="233">
        <f t="shared" ref="M419:N421" si="93">SUM(G419)</f>
        <v>0</v>
      </c>
      <c r="N419" s="233">
        <f t="shared" si="93"/>
        <v>865.3</v>
      </c>
      <c r="O419" s="178"/>
      <c r="P419" s="92"/>
    </row>
    <row r="420" spans="1:16" ht="31.5" x14ac:dyDescent="0.2">
      <c r="A420" s="57"/>
      <c r="B420" s="197" t="s">
        <v>441</v>
      </c>
      <c r="C420" s="199" t="s">
        <v>442</v>
      </c>
      <c r="D420" s="218"/>
      <c r="E420" s="218"/>
      <c r="F420" s="233">
        <v>865.3</v>
      </c>
      <c r="G420" s="233">
        <f>SUM(G421)</f>
        <v>0</v>
      </c>
      <c r="H420" s="233">
        <f>SUM(F420)+G420</f>
        <v>865.3</v>
      </c>
      <c r="I420" s="233"/>
      <c r="J420" s="233"/>
      <c r="K420" s="233"/>
      <c r="L420" s="233">
        <f>SUM(F420)</f>
        <v>865.3</v>
      </c>
      <c r="M420" s="233">
        <f t="shared" si="93"/>
        <v>0</v>
      </c>
      <c r="N420" s="233">
        <f t="shared" si="93"/>
        <v>865.3</v>
      </c>
      <c r="O420" s="178"/>
      <c r="P420" s="92"/>
    </row>
    <row r="421" spans="1:16" ht="18.75" x14ac:dyDescent="0.2">
      <c r="A421" s="57"/>
      <c r="B421" s="168" t="s">
        <v>41</v>
      </c>
      <c r="C421" s="199" t="s">
        <v>442</v>
      </c>
      <c r="D421" s="218" t="s">
        <v>42</v>
      </c>
      <c r="E421" s="218"/>
      <c r="F421" s="233">
        <v>865.3</v>
      </c>
      <c r="G421" s="233"/>
      <c r="H421" s="233">
        <f>SUM(F421)+G421</f>
        <v>865.3</v>
      </c>
      <c r="I421" s="233"/>
      <c r="J421" s="233"/>
      <c r="K421" s="233"/>
      <c r="L421" s="233">
        <f>SUM(F421)</f>
        <v>865.3</v>
      </c>
      <c r="M421" s="233">
        <f t="shared" si="93"/>
        <v>0</v>
      </c>
      <c r="N421" s="233">
        <f t="shared" si="93"/>
        <v>865.3</v>
      </c>
      <c r="O421" s="178"/>
      <c r="P421" s="92"/>
    </row>
    <row r="422" spans="1:16" ht="34.15" customHeight="1" x14ac:dyDescent="0.2">
      <c r="A422" s="57"/>
      <c r="B422" s="450" t="s">
        <v>443</v>
      </c>
      <c r="C422" s="451"/>
      <c r="D422" s="451"/>
      <c r="E422" s="451"/>
      <c r="F422" s="451"/>
      <c r="G422" s="451"/>
      <c r="H422" s="451"/>
      <c r="I422" s="451"/>
      <c r="J422" s="451"/>
      <c r="K422" s="451"/>
      <c r="L422" s="451"/>
      <c r="M422" s="451"/>
      <c r="N422" s="451"/>
      <c r="O422" s="262"/>
      <c r="P422" s="263"/>
    </row>
    <row r="423" spans="1:16" ht="16.5" customHeight="1" thickBot="1" x14ac:dyDescent="0.25">
      <c r="A423" s="70"/>
      <c r="B423" s="452"/>
      <c r="C423" s="453"/>
      <c r="D423" s="453"/>
      <c r="E423" s="453"/>
      <c r="F423" s="453"/>
      <c r="G423" s="453"/>
      <c r="H423" s="453"/>
      <c r="I423" s="453"/>
      <c r="J423" s="453"/>
      <c r="K423" s="453"/>
      <c r="L423" s="453"/>
      <c r="M423" s="453"/>
      <c r="N423" s="453"/>
      <c r="O423" s="262"/>
      <c r="P423" s="263"/>
    </row>
    <row r="424" spans="1:16" x14ac:dyDescent="0.2">
      <c r="B424" s="244"/>
      <c r="C424" s="244"/>
      <c r="D424" s="244"/>
      <c r="E424" s="244"/>
      <c r="F424" s="244"/>
      <c r="G424" s="244"/>
      <c r="H424" s="244"/>
      <c r="I424" s="244"/>
      <c r="J424" s="244"/>
      <c r="K424" s="244"/>
      <c r="L424" s="244"/>
      <c r="M424" s="244"/>
      <c r="N424" s="244"/>
      <c r="O424" s="244"/>
    </row>
    <row r="425" spans="1:16" x14ac:dyDescent="0.2">
      <c r="B425" s="244"/>
      <c r="C425" s="244"/>
      <c r="D425" s="244"/>
      <c r="E425" s="244"/>
      <c r="F425" s="244"/>
      <c r="G425" s="244"/>
      <c r="H425" s="244"/>
      <c r="I425" s="244"/>
      <c r="J425" s="244"/>
      <c r="K425" s="244"/>
      <c r="L425" s="244"/>
      <c r="M425" s="244"/>
      <c r="N425" s="244"/>
      <c r="O425" s="244"/>
    </row>
    <row r="426" spans="1:16" x14ac:dyDescent="0.2">
      <c r="B426" s="244"/>
      <c r="C426" s="244"/>
      <c r="D426" s="244"/>
      <c r="E426" s="244"/>
      <c r="F426" s="244"/>
      <c r="G426" s="244"/>
      <c r="H426" s="244"/>
      <c r="I426" s="244"/>
      <c r="J426" s="244"/>
      <c r="K426" s="244"/>
      <c r="L426" s="244"/>
      <c r="M426" s="244"/>
      <c r="N426" s="244"/>
      <c r="O426" s="244"/>
    </row>
    <row r="427" spans="1:16" x14ac:dyDescent="0.2">
      <c r="B427" s="244"/>
      <c r="C427" s="244"/>
      <c r="D427" s="244"/>
      <c r="E427" s="244"/>
      <c r="F427" s="244"/>
      <c r="G427" s="244"/>
      <c r="H427" s="244"/>
      <c r="I427" s="244"/>
      <c r="J427" s="244"/>
      <c r="K427" s="244"/>
      <c r="L427" s="244"/>
      <c r="M427" s="244"/>
      <c r="N427" s="244"/>
      <c r="O427" s="244"/>
    </row>
    <row r="428" spans="1:16" x14ac:dyDescent="0.2">
      <c r="B428" s="244"/>
      <c r="C428" s="244"/>
      <c r="D428" s="244"/>
      <c r="E428" s="244"/>
      <c r="F428" s="244"/>
      <c r="G428" s="244"/>
      <c r="H428" s="244"/>
      <c r="I428" s="244"/>
      <c r="J428" s="244"/>
      <c r="K428" s="244"/>
      <c r="L428" s="244"/>
      <c r="M428" s="244"/>
      <c r="N428" s="244"/>
      <c r="O428" s="244"/>
    </row>
    <row r="429" spans="1:16" x14ac:dyDescent="0.2">
      <c r="B429" s="244"/>
      <c r="C429" s="244"/>
      <c r="D429" s="244"/>
      <c r="E429" s="244"/>
      <c r="F429" s="244"/>
      <c r="G429" s="244"/>
      <c r="H429" s="244"/>
      <c r="I429" s="244"/>
      <c r="J429" s="244"/>
      <c r="K429" s="244"/>
      <c r="L429" s="244"/>
      <c r="M429" s="244"/>
      <c r="N429" s="244"/>
      <c r="O429" s="244"/>
    </row>
    <row r="430" spans="1:16" x14ac:dyDescent="0.2">
      <c r="B430" s="244"/>
      <c r="C430" s="244"/>
      <c r="D430" s="244"/>
      <c r="E430" s="244"/>
      <c r="F430" s="244"/>
      <c r="G430" s="244"/>
      <c r="H430" s="244"/>
      <c r="I430" s="244"/>
      <c r="J430" s="244"/>
      <c r="K430" s="244"/>
      <c r="L430" s="244"/>
      <c r="M430" s="244"/>
      <c r="N430" s="244"/>
      <c r="O430" s="244"/>
    </row>
    <row r="431" spans="1:16" x14ac:dyDescent="0.2">
      <c r="B431" s="244"/>
      <c r="C431" s="244"/>
      <c r="D431" s="244"/>
      <c r="E431" s="244"/>
      <c r="F431" s="244"/>
      <c r="G431" s="244"/>
      <c r="H431" s="244"/>
      <c r="I431" s="244"/>
      <c r="J431" s="244"/>
      <c r="K431" s="244"/>
      <c r="L431" s="244"/>
      <c r="M431" s="244"/>
      <c r="N431" s="244"/>
      <c r="O431" s="244"/>
    </row>
    <row r="432" spans="1:16" x14ac:dyDescent="0.2">
      <c r="B432" s="244"/>
      <c r="C432" s="244"/>
      <c r="D432" s="244"/>
      <c r="E432" s="244"/>
      <c r="F432" s="244"/>
      <c r="G432" s="244"/>
      <c r="H432" s="244"/>
      <c r="I432" s="244"/>
      <c r="J432" s="244"/>
      <c r="K432" s="244"/>
      <c r="L432" s="244"/>
      <c r="M432" s="244"/>
      <c r="N432" s="244"/>
      <c r="O432" s="244"/>
    </row>
    <row r="433" spans="2:15" x14ac:dyDescent="0.2">
      <c r="B433" s="244"/>
      <c r="C433" s="244"/>
      <c r="D433" s="244"/>
      <c r="E433" s="244"/>
      <c r="F433" s="244"/>
      <c r="G433" s="244"/>
      <c r="H433" s="244"/>
      <c r="I433" s="244"/>
      <c r="J433" s="244"/>
      <c r="K433" s="244"/>
      <c r="L433" s="244"/>
      <c r="M433" s="244"/>
      <c r="N433" s="244"/>
      <c r="O433" s="244"/>
    </row>
    <row r="434" spans="2:15" x14ac:dyDescent="0.2">
      <c r="B434" s="244"/>
      <c r="C434" s="244"/>
      <c r="D434" s="244"/>
      <c r="E434" s="244"/>
      <c r="F434" s="244"/>
      <c r="G434" s="244"/>
      <c r="H434" s="244"/>
      <c r="I434" s="244"/>
      <c r="J434" s="244"/>
      <c r="K434" s="244"/>
      <c r="L434" s="244"/>
      <c r="M434" s="244"/>
      <c r="N434" s="244"/>
      <c r="O434" s="244"/>
    </row>
    <row r="435" spans="2:15" x14ac:dyDescent="0.2">
      <c r="B435" s="244"/>
      <c r="C435" s="244"/>
      <c r="D435" s="244"/>
      <c r="E435" s="244"/>
      <c r="F435" s="244"/>
      <c r="G435" s="244"/>
      <c r="H435" s="244"/>
      <c r="I435" s="244"/>
      <c r="J435" s="244"/>
      <c r="K435" s="244"/>
      <c r="L435" s="244"/>
      <c r="M435" s="244"/>
      <c r="N435" s="244"/>
      <c r="O435" s="244"/>
    </row>
    <row r="436" spans="2:15" x14ac:dyDescent="0.2">
      <c r="B436" s="244"/>
      <c r="C436" s="244"/>
      <c r="D436" s="244"/>
      <c r="E436" s="244"/>
      <c r="F436" s="244"/>
      <c r="G436" s="244"/>
      <c r="H436" s="244"/>
      <c r="I436" s="244"/>
      <c r="J436" s="244"/>
      <c r="K436" s="244"/>
      <c r="L436" s="244"/>
      <c r="M436" s="244"/>
      <c r="N436" s="244"/>
      <c r="O436" s="244"/>
    </row>
    <row r="437" spans="2:15" x14ac:dyDescent="0.2">
      <c r="B437" s="244"/>
      <c r="C437" s="244"/>
      <c r="D437" s="244"/>
      <c r="E437" s="244"/>
      <c r="F437" s="244"/>
      <c r="G437" s="244"/>
      <c r="H437" s="244"/>
      <c r="I437" s="244"/>
      <c r="J437" s="244"/>
      <c r="K437" s="244"/>
      <c r="L437" s="244"/>
      <c r="M437" s="244"/>
      <c r="N437" s="244"/>
      <c r="O437" s="244"/>
    </row>
    <row r="438" spans="2:15" x14ac:dyDescent="0.2">
      <c r="B438" s="244"/>
      <c r="C438" s="244"/>
      <c r="D438" s="244"/>
      <c r="E438" s="244"/>
      <c r="F438" s="244"/>
      <c r="G438" s="244"/>
      <c r="H438" s="244"/>
      <c r="I438" s="244"/>
      <c r="J438" s="244"/>
      <c r="K438" s="244"/>
      <c r="L438" s="244"/>
      <c r="M438" s="244"/>
      <c r="N438" s="244"/>
      <c r="O438" s="244"/>
    </row>
    <row r="439" spans="2:15" x14ac:dyDescent="0.2">
      <c r="B439" s="244"/>
      <c r="C439" s="244"/>
      <c r="D439" s="244"/>
      <c r="E439" s="244"/>
      <c r="F439" s="244"/>
      <c r="G439" s="244"/>
      <c r="H439" s="244"/>
      <c r="I439" s="244"/>
      <c r="J439" s="244"/>
      <c r="K439" s="244"/>
      <c r="L439" s="244"/>
      <c r="M439" s="244"/>
      <c r="N439" s="244"/>
      <c r="O439" s="244"/>
    </row>
    <row r="440" spans="2:15" x14ac:dyDescent="0.2">
      <c r="B440" s="244"/>
      <c r="C440" s="244"/>
      <c r="D440" s="244"/>
      <c r="E440" s="244"/>
      <c r="F440" s="244"/>
      <c r="G440" s="244"/>
      <c r="H440" s="244"/>
      <c r="I440" s="244"/>
      <c r="J440" s="244"/>
      <c r="K440" s="244"/>
      <c r="L440" s="244"/>
      <c r="M440" s="244"/>
      <c r="N440" s="244"/>
      <c r="O440" s="244"/>
    </row>
    <row r="441" spans="2:15" x14ac:dyDescent="0.2">
      <c r="B441" s="244"/>
      <c r="C441" s="244"/>
      <c r="D441" s="244"/>
      <c r="E441" s="244"/>
      <c r="F441" s="244"/>
      <c r="G441" s="244"/>
      <c r="H441" s="244"/>
      <c r="I441" s="244"/>
      <c r="J441" s="244"/>
      <c r="K441" s="244"/>
      <c r="L441" s="244"/>
      <c r="M441" s="244"/>
      <c r="N441" s="244"/>
      <c r="O441" s="244"/>
    </row>
    <row r="442" spans="2:15" x14ac:dyDescent="0.2">
      <c r="B442" s="244"/>
      <c r="C442" s="244"/>
      <c r="D442" s="244"/>
      <c r="E442" s="244"/>
      <c r="F442" s="244"/>
      <c r="G442" s="244"/>
      <c r="H442" s="244"/>
      <c r="I442" s="244"/>
      <c r="J442" s="244"/>
      <c r="K442" s="244"/>
      <c r="L442" s="244"/>
      <c r="M442" s="244"/>
      <c r="N442" s="244"/>
      <c r="O442" s="244"/>
    </row>
    <row r="443" spans="2:15" x14ac:dyDescent="0.2">
      <c r="B443" s="244"/>
      <c r="C443" s="244"/>
      <c r="D443" s="244"/>
      <c r="E443" s="244"/>
      <c r="F443" s="244"/>
      <c r="G443" s="244"/>
      <c r="H443" s="244"/>
      <c r="I443" s="244"/>
      <c r="J443" s="244"/>
      <c r="K443" s="244"/>
      <c r="L443" s="244"/>
      <c r="M443" s="244"/>
      <c r="N443" s="244"/>
      <c r="O443" s="244"/>
    </row>
    <row r="444" spans="2:15" x14ac:dyDescent="0.2">
      <c r="B444" s="244"/>
      <c r="C444" s="244"/>
      <c r="D444" s="244"/>
      <c r="E444" s="244"/>
      <c r="F444" s="244"/>
      <c r="G444" s="244"/>
      <c r="H444" s="244"/>
      <c r="I444" s="244"/>
      <c r="J444" s="244"/>
      <c r="K444" s="244"/>
      <c r="L444" s="244"/>
      <c r="M444" s="244"/>
      <c r="N444" s="244"/>
      <c r="O444" s="244"/>
    </row>
    <row r="445" spans="2:15" x14ac:dyDescent="0.2">
      <c r="B445" s="244"/>
      <c r="C445" s="244"/>
      <c r="D445" s="244"/>
      <c r="E445" s="244"/>
      <c r="F445" s="244"/>
      <c r="G445" s="244"/>
      <c r="H445" s="244"/>
      <c r="I445" s="244"/>
      <c r="J445" s="244"/>
      <c r="K445" s="244"/>
      <c r="L445" s="244"/>
      <c r="M445" s="244"/>
      <c r="N445" s="244"/>
      <c r="O445" s="244"/>
    </row>
    <row r="446" spans="2:15" x14ac:dyDescent="0.2">
      <c r="B446" s="244"/>
      <c r="C446" s="244"/>
      <c r="D446" s="244"/>
      <c r="E446" s="244"/>
      <c r="F446" s="244"/>
      <c r="G446" s="244"/>
      <c r="H446" s="244"/>
      <c r="I446" s="244"/>
      <c r="J446" s="244"/>
      <c r="K446" s="244"/>
      <c r="L446" s="244"/>
      <c r="M446" s="244"/>
      <c r="N446" s="244"/>
      <c r="O446" s="244"/>
    </row>
    <row r="447" spans="2:15" x14ac:dyDescent="0.2">
      <c r="B447" s="244"/>
      <c r="C447" s="244"/>
      <c r="D447" s="244"/>
      <c r="E447" s="244"/>
      <c r="F447" s="244"/>
      <c r="G447" s="244"/>
      <c r="H447" s="244"/>
      <c r="I447" s="244"/>
      <c r="J447" s="244"/>
      <c r="K447" s="244"/>
      <c r="L447" s="244"/>
      <c r="M447" s="244"/>
      <c r="N447" s="244"/>
      <c r="O447" s="244"/>
    </row>
    <row r="448" spans="2:15" x14ac:dyDescent="0.2">
      <c r="B448" s="244"/>
      <c r="C448" s="244"/>
      <c r="D448" s="244"/>
      <c r="E448" s="244"/>
      <c r="F448" s="244"/>
      <c r="G448" s="244"/>
      <c r="H448" s="244"/>
      <c r="I448" s="244"/>
      <c r="J448" s="244"/>
      <c r="K448" s="244"/>
      <c r="L448" s="244"/>
      <c r="M448" s="244"/>
      <c r="N448" s="244"/>
      <c r="O448" s="244"/>
    </row>
    <row r="449" spans="2:15" x14ac:dyDescent="0.2">
      <c r="B449" s="244"/>
      <c r="C449" s="244"/>
      <c r="D449" s="244"/>
      <c r="E449" s="244"/>
      <c r="F449" s="244"/>
      <c r="G449" s="244"/>
      <c r="H449" s="244"/>
      <c r="I449" s="244"/>
      <c r="J449" s="244"/>
      <c r="K449" s="244"/>
      <c r="L449" s="244"/>
      <c r="M449" s="244"/>
      <c r="N449" s="244"/>
      <c r="O449" s="244"/>
    </row>
    <row r="450" spans="2:15" x14ac:dyDescent="0.2">
      <c r="B450" s="244"/>
      <c r="C450" s="244"/>
      <c r="D450" s="244"/>
      <c r="E450" s="244"/>
      <c r="F450" s="244"/>
      <c r="G450" s="244"/>
      <c r="H450" s="244"/>
      <c r="I450" s="244"/>
      <c r="J450" s="244"/>
      <c r="K450" s="244"/>
      <c r="L450" s="244"/>
      <c r="M450" s="244"/>
      <c r="N450" s="244"/>
      <c r="O450" s="244"/>
    </row>
    <row r="451" spans="2:15" x14ac:dyDescent="0.2">
      <c r="B451" s="244"/>
      <c r="C451" s="244"/>
      <c r="D451" s="244"/>
      <c r="E451" s="244"/>
      <c r="F451" s="244"/>
      <c r="G451" s="244"/>
      <c r="H451" s="244"/>
      <c r="I451" s="244"/>
      <c r="J451" s="244"/>
      <c r="K451" s="244"/>
      <c r="L451" s="244"/>
      <c r="M451" s="244"/>
      <c r="N451" s="244"/>
      <c r="O451" s="244"/>
    </row>
    <row r="452" spans="2:15" x14ac:dyDescent="0.2">
      <c r="B452" s="244"/>
      <c r="C452" s="244"/>
      <c r="D452" s="244"/>
      <c r="E452" s="244"/>
      <c r="F452" s="244"/>
      <c r="G452" s="244"/>
      <c r="H452" s="244"/>
      <c r="I452" s="244"/>
      <c r="J452" s="244"/>
      <c r="K452" s="244"/>
      <c r="L452" s="244"/>
      <c r="M452" s="244"/>
      <c r="N452" s="244"/>
      <c r="O452" s="244"/>
    </row>
    <row r="453" spans="2:15" x14ac:dyDescent="0.2">
      <c r="B453" s="244"/>
      <c r="C453" s="244"/>
      <c r="D453" s="244"/>
      <c r="E453" s="244"/>
      <c r="F453" s="244"/>
      <c r="G453" s="244"/>
      <c r="H453" s="244"/>
      <c r="I453" s="244"/>
      <c r="J453" s="244"/>
      <c r="K453" s="244"/>
      <c r="L453" s="244"/>
      <c r="M453" s="244"/>
      <c r="N453" s="244"/>
      <c r="O453" s="244"/>
    </row>
    <row r="454" spans="2:15" x14ac:dyDescent="0.2">
      <c r="B454" s="244"/>
      <c r="C454" s="244"/>
      <c r="D454" s="244"/>
      <c r="E454" s="244"/>
      <c r="F454" s="244"/>
      <c r="G454" s="244"/>
      <c r="H454" s="244"/>
      <c r="I454" s="244"/>
      <c r="J454" s="244"/>
      <c r="K454" s="244"/>
      <c r="L454" s="244"/>
      <c r="M454" s="244"/>
      <c r="N454" s="244"/>
      <c r="O454" s="244"/>
    </row>
    <row r="455" spans="2:15" x14ac:dyDescent="0.2">
      <c r="B455" s="244"/>
      <c r="C455" s="244"/>
      <c r="D455" s="244"/>
      <c r="E455" s="244"/>
      <c r="F455" s="244"/>
      <c r="G455" s="244"/>
      <c r="H455" s="244"/>
      <c r="I455" s="244"/>
      <c r="J455" s="244"/>
      <c r="K455" s="244"/>
      <c r="L455" s="244"/>
      <c r="M455" s="244"/>
      <c r="N455" s="244"/>
      <c r="O455" s="244"/>
    </row>
    <row r="456" spans="2:15" x14ac:dyDescent="0.2">
      <c r="B456" s="244"/>
      <c r="C456" s="244"/>
      <c r="D456" s="244"/>
      <c r="E456" s="244"/>
      <c r="F456" s="244"/>
      <c r="G456" s="244"/>
      <c r="H456" s="244"/>
      <c r="I456" s="244"/>
      <c r="J456" s="244"/>
      <c r="K456" s="244"/>
      <c r="L456" s="244"/>
      <c r="M456" s="244"/>
      <c r="N456" s="244"/>
      <c r="O456" s="244"/>
    </row>
    <row r="457" spans="2:15" x14ac:dyDescent="0.2">
      <c r="B457" s="244"/>
      <c r="C457" s="244"/>
      <c r="D457" s="244"/>
      <c r="E457" s="244"/>
      <c r="F457" s="244"/>
      <c r="G457" s="244"/>
      <c r="H457" s="244"/>
      <c r="I457" s="244"/>
      <c r="J457" s="244"/>
      <c r="K457" s="244"/>
      <c r="L457" s="244"/>
      <c r="M457" s="244"/>
      <c r="N457" s="244"/>
      <c r="O457" s="244"/>
    </row>
    <row r="458" spans="2:15" x14ac:dyDescent="0.2">
      <c r="B458" s="244"/>
      <c r="C458" s="244"/>
      <c r="D458" s="244"/>
      <c r="E458" s="244"/>
      <c r="F458" s="244"/>
      <c r="G458" s="244"/>
      <c r="H458" s="244"/>
      <c r="I458" s="244"/>
      <c r="J458" s="244"/>
      <c r="K458" s="244"/>
      <c r="L458" s="244"/>
      <c r="M458" s="244"/>
      <c r="N458" s="244"/>
      <c r="O458" s="244"/>
    </row>
    <row r="459" spans="2:15" x14ac:dyDescent="0.2">
      <c r="B459" s="244"/>
      <c r="C459" s="244"/>
      <c r="D459" s="244"/>
      <c r="E459" s="244"/>
      <c r="F459" s="244"/>
      <c r="G459" s="244"/>
      <c r="H459" s="244"/>
      <c r="I459" s="244"/>
      <c r="J459" s="244"/>
      <c r="K459" s="244"/>
      <c r="L459" s="244"/>
      <c r="M459" s="244"/>
      <c r="N459" s="244"/>
      <c r="O459" s="244"/>
    </row>
    <row r="460" spans="2:15" x14ac:dyDescent="0.2">
      <c r="B460" s="244"/>
      <c r="C460" s="244"/>
      <c r="D460" s="244"/>
      <c r="E460" s="244"/>
      <c r="F460" s="244"/>
      <c r="G460" s="244"/>
      <c r="H460" s="244"/>
      <c r="I460" s="244"/>
      <c r="J460" s="244"/>
      <c r="K460" s="244"/>
      <c r="L460" s="244"/>
      <c r="M460" s="244"/>
      <c r="N460" s="244"/>
      <c r="O460" s="244"/>
    </row>
    <row r="461" spans="2:15" x14ac:dyDescent="0.2">
      <c r="B461" s="244"/>
      <c r="C461" s="244"/>
      <c r="D461" s="244"/>
      <c r="E461" s="244"/>
      <c r="F461" s="244"/>
      <c r="G461" s="244"/>
      <c r="H461" s="244"/>
      <c r="I461" s="244"/>
      <c r="J461" s="244"/>
      <c r="K461" s="244"/>
      <c r="L461" s="244"/>
      <c r="M461" s="244"/>
      <c r="N461" s="244"/>
      <c r="O461" s="244"/>
    </row>
    <row r="462" spans="2:15" x14ac:dyDescent="0.2">
      <c r="B462" s="244"/>
      <c r="C462" s="244"/>
      <c r="D462" s="244"/>
      <c r="E462" s="244"/>
      <c r="F462" s="244"/>
      <c r="G462" s="244"/>
      <c r="H462" s="244"/>
      <c r="I462" s="244"/>
      <c r="J462" s="244"/>
      <c r="K462" s="244"/>
      <c r="L462" s="244"/>
      <c r="M462" s="244"/>
      <c r="N462" s="244"/>
      <c r="O462" s="244"/>
    </row>
    <row r="463" spans="2:15" x14ac:dyDescent="0.2">
      <c r="B463" s="244"/>
      <c r="C463" s="244"/>
      <c r="D463" s="244"/>
      <c r="E463" s="244"/>
      <c r="F463" s="244"/>
      <c r="G463" s="244"/>
      <c r="H463" s="244"/>
      <c r="I463" s="244"/>
      <c r="J463" s="244"/>
      <c r="K463" s="244"/>
      <c r="L463" s="244"/>
      <c r="M463" s="244"/>
      <c r="N463" s="244"/>
      <c r="O463" s="244"/>
    </row>
    <row r="464" spans="2:15" x14ac:dyDescent="0.2">
      <c r="B464" s="244"/>
      <c r="C464" s="244"/>
      <c r="D464" s="244"/>
      <c r="E464" s="244"/>
      <c r="F464" s="244"/>
      <c r="G464" s="244"/>
      <c r="H464" s="244"/>
      <c r="I464" s="244"/>
      <c r="J464" s="244"/>
      <c r="K464" s="244"/>
      <c r="L464" s="244"/>
      <c r="M464" s="244"/>
      <c r="N464" s="244"/>
      <c r="O464" s="244"/>
    </row>
    <row r="465" spans="2:15" x14ac:dyDescent="0.2">
      <c r="B465" s="244"/>
      <c r="C465" s="244"/>
      <c r="D465" s="244"/>
      <c r="E465" s="244"/>
      <c r="F465" s="244"/>
      <c r="G465" s="244"/>
      <c r="H465" s="244"/>
      <c r="I465" s="244"/>
      <c r="J465" s="244"/>
      <c r="K465" s="244"/>
      <c r="L465" s="244"/>
      <c r="M465" s="244"/>
      <c r="N465" s="244"/>
      <c r="O465" s="244"/>
    </row>
    <row r="466" spans="2:15" x14ac:dyDescent="0.2">
      <c r="B466" s="244"/>
      <c r="C466" s="244"/>
      <c r="D466" s="244"/>
      <c r="E466" s="244"/>
      <c r="F466" s="244"/>
      <c r="G466" s="244"/>
      <c r="H466" s="244"/>
      <c r="I466" s="244"/>
      <c r="J466" s="244"/>
      <c r="K466" s="244"/>
      <c r="L466" s="244"/>
      <c r="M466" s="244"/>
      <c r="N466" s="244"/>
      <c r="O466" s="244"/>
    </row>
    <row r="467" spans="2:15" x14ac:dyDescent="0.2">
      <c r="B467" s="244"/>
      <c r="C467" s="244"/>
      <c r="D467" s="244"/>
      <c r="E467" s="244"/>
      <c r="F467" s="244"/>
      <c r="G467" s="244"/>
      <c r="H467" s="244"/>
      <c r="I467" s="244"/>
      <c r="J467" s="244"/>
      <c r="K467" s="244"/>
      <c r="L467" s="244"/>
      <c r="M467" s="244"/>
      <c r="N467" s="244"/>
      <c r="O467" s="244"/>
    </row>
    <row r="468" spans="2:15" x14ac:dyDescent="0.2">
      <c r="B468" s="244"/>
      <c r="C468" s="244"/>
      <c r="D468" s="244"/>
      <c r="E468" s="244"/>
      <c r="F468" s="244"/>
      <c r="G468" s="244"/>
      <c r="H468" s="244"/>
      <c r="I468" s="244"/>
      <c r="J468" s="244"/>
      <c r="K468" s="244"/>
      <c r="L468" s="244"/>
      <c r="M468" s="244"/>
      <c r="N468" s="244"/>
      <c r="O468" s="244"/>
    </row>
    <row r="469" spans="2:15" x14ac:dyDescent="0.2">
      <c r="B469" s="244"/>
      <c r="C469" s="244"/>
      <c r="D469" s="244"/>
      <c r="E469" s="244"/>
      <c r="F469" s="244"/>
      <c r="G469" s="244"/>
      <c r="H469" s="244"/>
      <c r="I469" s="244"/>
      <c r="J469" s="244"/>
      <c r="K469" s="244"/>
      <c r="L469" s="244"/>
      <c r="M469" s="244"/>
      <c r="N469" s="244"/>
      <c r="O469" s="244"/>
    </row>
    <row r="470" spans="2:15" x14ac:dyDescent="0.2">
      <c r="B470" s="244"/>
      <c r="C470" s="244"/>
      <c r="D470" s="244"/>
      <c r="E470" s="244"/>
      <c r="F470" s="244"/>
      <c r="G470" s="244"/>
      <c r="H470" s="244"/>
      <c r="I470" s="244"/>
      <c r="J470" s="244"/>
      <c r="K470" s="244"/>
      <c r="L470" s="244"/>
      <c r="M470" s="244"/>
      <c r="N470" s="244"/>
      <c r="O470" s="244"/>
    </row>
    <row r="471" spans="2:15" x14ac:dyDescent="0.2">
      <c r="B471" s="244"/>
      <c r="C471" s="244"/>
      <c r="D471" s="244"/>
      <c r="E471" s="244"/>
      <c r="F471" s="244"/>
      <c r="G471" s="244"/>
      <c r="H471" s="244"/>
      <c r="I471" s="244"/>
      <c r="J471" s="244"/>
      <c r="K471" s="244"/>
      <c r="L471" s="244"/>
      <c r="M471" s="244"/>
      <c r="N471" s="244"/>
      <c r="O471" s="244"/>
    </row>
    <row r="472" spans="2:15" x14ac:dyDescent="0.2">
      <c r="B472" s="244"/>
      <c r="C472" s="244"/>
      <c r="D472" s="244"/>
      <c r="E472" s="244"/>
      <c r="F472" s="244"/>
      <c r="G472" s="244"/>
      <c r="H472" s="244"/>
      <c r="I472" s="244"/>
      <c r="J472" s="244"/>
      <c r="K472" s="244"/>
      <c r="L472" s="244"/>
      <c r="M472" s="244"/>
      <c r="N472" s="244"/>
      <c r="O472" s="244"/>
    </row>
    <row r="473" spans="2:15" x14ac:dyDescent="0.2">
      <c r="B473" s="244"/>
      <c r="C473" s="244"/>
      <c r="D473" s="244"/>
      <c r="E473" s="244"/>
      <c r="F473" s="244"/>
      <c r="G473" s="244"/>
      <c r="H473" s="244"/>
      <c r="I473" s="244"/>
      <c r="J473" s="244"/>
      <c r="K473" s="244"/>
      <c r="L473" s="244"/>
      <c r="M473" s="244"/>
      <c r="N473" s="244"/>
      <c r="O473" s="244"/>
    </row>
    <row r="474" spans="2:15" x14ac:dyDescent="0.2">
      <c r="B474" s="244"/>
      <c r="C474" s="244"/>
      <c r="D474" s="244"/>
      <c r="E474" s="244"/>
      <c r="F474" s="244"/>
      <c r="G474" s="244"/>
      <c r="H474" s="244"/>
      <c r="I474" s="244"/>
      <c r="J474" s="244"/>
      <c r="K474" s="244"/>
      <c r="L474" s="244"/>
      <c r="M474" s="244"/>
      <c r="N474" s="244"/>
      <c r="O474" s="244"/>
    </row>
    <row r="475" spans="2:15" x14ac:dyDescent="0.2">
      <c r="B475" s="244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44"/>
      <c r="N475" s="244"/>
      <c r="O475" s="244"/>
    </row>
    <row r="476" spans="2:15" x14ac:dyDescent="0.2">
      <c r="B476" s="244"/>
      <c r="C476" s="244"/>
      <c r="D476" s="244"/>
      <c r="E476" s="244"/>
      <c r="F476" s="244"/>
      <c r="G476" s="244"/>
      <c r="H476" s="244"/>
      <c r="I476" s="244"/>
      <c r="J476" s="244"/>
      <c r="K476" s="244"/>
      <c r="L476" s="244"/>
      <c r="M476" s="244"/>
      <c r="N476" s="244"/>
      <c r="O476" s="244"/>
    </row>
    <row r="477" spans="2:15" x14ac:dyDescent="0.2">
      <c r="B477" s="244"/>
      <c r="C477" s="244"/>
      <c r="D477" s="244"/>
      <c r="E477" s="244"/>
      <c r="F477" s="244"/>
      <c r="G477" s="244"/>
      <c r="H477" s="244"/>
      <c r="I477" s="244"/>
      <c r="J477" s="244"/>
      <c r="K477" s="244"/>
      <c r="L477" s="244"/>
      <c r="M477" s="244"/>
      <c r="N477" s="244"/>
      <c r="O477" s="244"/>
    </row>
    <row r="478" spans="2:15" x14ac:dyDescent="0.2">
      <c r="B478" s="244"/>
      <c r="C478" s="244"/>
      <c r="D478" s="244"/>
      <c r="E478" s="244"/>
      <c r="F478" s="244"/>
      <c r="G478" s="244"/>
      <c r="H478" s="244"/>
      <c r="I478" s="244"/>
      <c r="J478" s="244"/>
      <c r="K478" s="244"/>
      <c r="L478" s="244"/>
      <c r="M478" s="244"/>
      <c r="N478" s="244"/>
      <c r="O478" s="244"/>
    </row>
    <row r="479" spans="2:15" x14ac:dyDescent="0.2">
      <c r="B479" s="244"/>
      <c r="C479" s="244"/>
      <c r="D479" s="244"/>
      <c r="E479" s="244"/>
      <c r="F479" s="244"/>
      <c r="G479" s="244"/>
      <c r="H479" s="244"/>
      <c r="I479" s="244"/>
      <c r="J479" s="244"/>
      <c r="K479" s="244"/>
      <c r="L479" s="244"/>
      <c r="M479" s="244"/>
      <c r="N479" s="244"/>
      <c r="O479" s="244"/>
    </row>
    <row r="480" spans="2:15" x14ac:dyDescent="0.2">
      <c r="B480" s="244"/>
      <c r="C480" s="244"/>
      <c r="D480" s="244"/>
      <c r="E480" s="244"/>
      <c r="F480" s="244"/>
      <c r="G480" s="244"/>
      <c r="H480" s="244"/>
      <c r="I480" s="244"/>
      <c r="J480" s="244"/>
      <c r="K480" s="244"/>
      <c r="L480" s="244"/>
      <c r="M480" s="244"/>
      <c r="N480" s="244"/>
      <c r="O480" s="244"/>
    </row>
    <row r="481" spans="2:15" x14ac:dyDescent="0.2">
      <c r="B481" s="244"/>
      <c r="C481" s="244"/>
      <c r="D481" s="244"/>
      <c r="E481" s="244"/>
      <c r="F481" s="244"/>
      <c r="G481" s="244"/>
      <c r="H481" s="244"/>
      <c r="I481" s="244"/>
      <c r="J481" s="244"/>
      <c r="K481" s="244"/>
      <c r="L481" s="244"/>
      <c r="M481" s="244"/>
      <c r="N481" s="244"/>
      <c r="O481" s="244"/>
    </row>
    <row r="482" spans="2:15" x14ac:dyDescent="0.2">
      <c r="B482" s="244"/>
      <c r="C482" s="244"/>
      <c r="D482" s="244"/>
      <c r="E482" s="244"/>
      <c r="F482" s="244"/>
      <c r="G482" s="244"/>
      <c r="H482" s="244"/>
      <c r="I482" s="244"/>
      <c r="J482" s="244"/>
      <c r="K482" s="244"/>
      <c r="L482" s="244"/>
      <c r="M482" s="244"/>
      <c r="N482" s="244"/>
      <c r="O482" s="244"/>
    </row>
    <row r="483" spans="2:15" x14ac:dyDescent="0.2">
      <c r="B483" s="244"/>
      <c r="C483" s="244"/>
      <c r="D483" s="244"/>
      <c r="E483" s="244"/>
      <c r="F483" s="244"/>
      <c r="G483" s="244"/>
      <c r="H483" s="244"/>
      <c r="I483" s="244"/>
      <c r="J483" s="244"/>
      <c r="K483" s="244"/>
      <c r="L483" s="244"/>
      <c r="M483" s="244"/>
      <c r="N483" s="244"/>
      <c r="O483" s="244"/>
    </row>
    <row r="484" spans="2:15" x14ac:dyDescent="0.2">
      <c r="B484" s="244"/>
      <c r="C484" s="244"/>
      <c r="D484" s="244"/>
      <c r="E484" s="244"/>
      <c r="F484" s="244"/>
      <c r="G484" s="244"/>
      <c r="H484" s="244"/>
      <c r="I484" s="244"/>
      <c r="J484" s="244"/>
      <c r="K484" s="244"/>
      <c r="L484" s="244"/>
      <c r="M484" s="244"/>
      <c r="N484" s="244"/>
      <c r="O484" s="244"/>
    </row>
    <row r="485" spans="2:15" x14ac:dyDescent="0.2">
      <c r="B485" s="244"/>
      <c r="C485" s="244"/>
      <c r="D485" s="244"/>
      <c r="E485" s="244"/>
      <c r="F485" s="244"/>
      <c r="G485" s="244"/>
      <c r="H485" s="244"/>
      <c r="I485" s="244"/>
      <c r="J485" s="244"/>
      <c r="K485" s="244"/>
      <c r="L485" s="244"/>
      <c r="M485" s="244"/>
      <c r="N485" s="244"/>
      <c r="O485" s="244"/>
    </row>
    <row r="486" spans="2:15" x14ac:dyDescent="0.2">
      <c r="B486" s="244"/>
      <c r="C486" s="244"/>
      <c r="D486" s="244"/>
      <c r="E486" s="244"/>
      <c r="F486" s="244"/>
      <c r="G486" s="244"/>
      <c r="H486" s="244"/>
      <c r="I486" s="244"/>
      <c r="J486" s="244"/>
      <c r="K486" s="244"/>
      <c r="L486" s="244"/>
      <c r="M486" s="244"/>
      <c r="N486" s="244"/>
      <c r="O486" s="244"/>
    </row>
    <row r="487" spans="2:15" x14ac:dyDescent="0.2">
      <c r="B487" s="244"/>
      <c r="C487" s="244"/>
      <c r="D487" s="244"/>
      <c r="E487" s="244"/>
      <c r="F487" s="244"/>
      <c r="G487" s="244"/>
      <c r="H487" s="244"/>
      <c r="I487" s="244"/>
      <c r="J487" s="244"/>
      <c r="K487" s="244"/>
      <c r="L487" s="244"/>
      <c r="M487" s="244"/>
      <c r="N487" s="244"/>
      <c r="O487" s="244"/>
    </row>
    <row r="488" spans="2:15" x14ac:dyDescent="0.2">
      <c r="B488" s="244"/>
      <c r="C488" s="244"/>
      <c r="D488" s="244"/>
      <c r="E488" s="244"/>
      <c r="F488" s="244"/>
      <c r="G488" s="244"/>
      <c r="H488" s="244"/>
      <c r="I488" s="244"/>
      <c r="J488" s="244"/>
      <c r="K488" s="244"/>
      <c r="L488" s="244"/>
      <c r="M488" s="244"/>
      <c r="N488" s="244"/>
      <c r="O488" s="244"/>
    </row>
    <row r="489" spans="2:15" x14ac:dyDescent="0.2">
      <c r="B489" s="244"/>
      <c r="C489" s="244"/>
      <c r="D489" s="244"/>
      <c r="E489" s="244"/>
      <c r="F489" s="244"/>
      <c r="G489" s="244"/>
      <c r="H489" s="244"/>
      <c r="I489" s="244"/>
      <c r="J489" s="244"/>
      <c r="K489" s="244"/>
      <c r="L489" s="244"/>
      <c r="M489" s="244"/>
      <c r="N489" s="244"/>
      <c r="O489" s="244"/>
    </row>
    <row r="490" spans="2:15" x14ac:dyDescent="0.2">
      <c r="B490" s="244"/>
      <c r="C490" s="244"/>
      <c r="D490" s="244"/>
      <c r="E490" s="244"/>
      <c r="F490" s="244"/>
      <c r="G490" s="244"/>
      <c r="H490" s="244"/>
      <c r="I490" s="244"/>
      <c r="J490" s="244"/>
      <c r="K490" s="244"/>
      <c r="L490" s="244"/>
      <c r="M490" s="244"/>
      <c r="N490" s="244"/>
      <c r="O490" s="244"/>
    </row>
    <row r="491" spans="2:15" x14ac:dyDescent="0.2">
      <c r="B491" s="244"/>
      <c r="C491" s="244"/>
      <c r="D491" s="244"/>
      <c r="E491" s="244"/>
      <c r="F491" s="244"/>
      <c r="G491" s="244"/>
      <c r="H491" s="244"/>
      <c r="I491" s="244"/>
      <c r="J491" s="244"/>
      <c r="K491" s="244"/>
      <c r="L491" s="244"/>
      <c r="M491" s="244"/>
      <c r="N491" s="244"/>
      <c r="O491" s="244"/>
    </row>
    <row r="492" spans="2:15" x14ac:dyDescent="0.2">
      <c r="B492" s="244"/>
      <c r="C492" s="244"/>
      <c r="D492" s="244"/>
      <c r="E492" s="244"/>
      <c r="F492" s="244"/>
      <c r="G492" s="244"/>
      <c r="H492" s="244"/>
      <c r="I492" s="244"/>
      <c r="J492" s="244"/>
      <c r="K492" s="244"/>
      <c r="L492" s="244"/>
      <c r="M492" s="244"/>
      <c r="N492" s="244"/>
      <c r="O492" s="244"/>
    </row>
    <row r="493" spans="2:15" x14ac:dyDescent="0.2">
      <c r="B493" s="244"/>
      <c r="C493" s="244"/>
      <c r="D493" s="244"/>
      <c r="E493" s="244"/>
      <c r="F493" s="244"/>
      <c r="G493" s="244"/>
      <c r="H493" s="244"/>
      <c r="I493" s="244"/>
      <c r="J493" s="244"/>
      <c r="K493" s="244"/>
      <c r="L493" s="244"/>
      <c r="M493" s="244"/>
      <c r="N493" s="244"/>
      <c r="O493" s="244"/>
    </row>
    <row r="494" spans="2:15" x14ac:dyDescent="0.2">
      <c r="B494" s="244"/>
      <c r="C494" s="244"/>
      <c r="D494" s="244"/>
      <c r="E494" s="244"/>
      <c r="F494" s="244"/>
      <c r="G494" s="244"/>
      <c r="H494" s="244"/>
      <c r="I494" s="244"/>
      <c r="J494" s="244"/>
      <c r="K494" s="244"/>
      <c r="L494" s="244"/>
      <c r="M494" s="244"/>
      <c r="N494" s="244"/>
      <c r="O494" s="244"/>
    </row>
    <row r="495" spans="2:15" x14ac:dyDescent="0.2">
      <c r="B495" s="244"/>
      <c r="C495" s="244"/>
      <c r="D495" s="244"/>
      <c r="E495" s="244"/>
      <c r="F495" s="244"/>
      <c r="G495" s="244"/>
      <c r="H495" s="244"/>
      <c r="I495" s="244"/>
      <c r="J495" s="244"/>
      <c r="K495" s="244"/>
      <c r="L495" s="244"/>
      <c r="M495" s="244"/>
      <c r="N495" s="244"/>
      <c r="O495" s="244"/>
    </row>
    <row r="496" spans="2:15" x14ac:dyDescent="0.2">
      <c r="B496" s="244"/>
      <c r="C496" s="244"/>
      <c r="D496" s="244"/>
      <c r="E496" s="244"/>
      <c r="F496" s="244"/>
      <c r="G496" s="244"/>
      <c r="H496" s="244"/>
      <c r="I496" s="244"/>
      <c r="J496" s="244"/>
      <c r="K496" s="244"/>
      <c r="L496" s="244"/>
      <c r="M496" s="244"/>
      <c r="N496" s="244"/>
      <c r="O496" s="244"/>
    </row>
    <row r="497" spans="2:15" x14ac:dyDescent="0.2">
      <c r="B497" s="244"/>
      <c r="C497" s="244"/>
      <c r="D497" s="244"/>
      <c r="E497" s="244"/>
      <c r="F497" s="244"/>
      <c r="G497" s="244"/>
      <c r="H497" s="244"/>
      <c r="I497" s="244"/>
      <c r="J497" s="244"/>
      <c r="K497" s="244"/>
      <c r="L497" s="244"/>
      <c r="M497" s="244"/>
      <c r="N497" s="244"/>
      <c r="O497" s="244"/>
    </row>
    <row r="498" spans="2:15" x14ac:dyDescent="0.2">
      <c r="B498" s="244"/>
      <c r="C498" s="244"/>
      <c r="D498" s="244"/>
      <c r="E498" s="244"/>
      <c r="F498" s="244"/>
      <c r="G498" s="244"/>
      <c r="H498" s="244"/>
      <c r="I498" s="244"/>
      <c r="J498" s="244"/>
      <c r="K498" s="244"/>
      <c r="L498" s="244"/>
      <c r="M498" s="244"/>
      <c r="N498" s="244"/>
      <c r="O498" s="244"/>
    </row>
    <row r="499" spans="2:15" x14ac:dyDescent="0.2">
      <c r="B499" s="244"/>
      <c r="C499" s="244"/>
      <c r="D499" s="244"/>
      <c r="E499" s="244"/>
      <c r="F499" s="244"/>
      <c r="G499" s="244"/>
      <c r="H499" s="244"/>
      <c r="I499" s="244"/>
      <c r="J499" s="244"/>
      <c r="K499" s="244"/>
      <c r="L499" s="244"/>
      <c r="M499" s="244"/>
      <c r="N499" s="244"/>
      <c r="O499" s="244"/>
    </row>
    <row r="500" spans="2:15" x14ac:dyDescent="0.2">
      <c r="B500" s="244"/>
      <c r="C500" s="244"/>
      <c r="D500" s="244"/>
      <c r="E500" s="244"/>
      <c r="F500" s="244"/>
      <c r="G500" s="244"/>
      <c r="H500" s="244"/>
      <c r="I500" s="244"/>
      <c r="J500" s="244"/>
      <c r="K500" s="244"/>
      <c r="L500" s="244"/>
      <c r="M500" s="244"/>
      <c r="N500" s="244"/>
      <c r="O500" s="244"/>
    </row>
    <row r="501" spans="2:15" x14ac:dyDescent="0.2">
      <c r="B501" s="244"/>
      <c r="C501" s="244"/>
      <c r="D501" s="244"/>
      <c r="E501" s="244"/>
      <c r="F501" s="244"/>
      <c r="G501" s="244"/>
      <c r="H501" s="244"/>
      <c r="I501" s="244"/>
      <c r="J501" s="244"/>
      <c r="K501" s="244"/>
      <c r="L501" s="244"/>
      <c r="M501" s="244"/>
      <c r="N501" s="244"/>
      <c r="O501" s="244"/>
    </row>
    <row r="502" spans="2:15" x14ac:dyDescent="0.2">
      <c r="B502" s="244"/>
      <c r="C502" s="244"/>
      <c r="D502" s="244"/>
      <c r="E502" s="244"/>
      <c r="F502" s="244"/>
      <c r="G502" s="244"/>
      <c r="H502" s="244"/>
      <c r="I502" s="244"/>
      <c r="J502" s="244"/>
      <c r="K502" s="244"/>
      <c r="L502" s="244"/>
      <c r="M502" s="244"/>
      <c r="N502" s="244"/>
      <c r="O502" s="244"/>
    </row>
  </sheetData>
  <mergeCells count="18">
    <mergeCell ref="C15:D15"/>
    <mergeCell ref="F15:N15"/>
    <mergeCell ref="B17:D17"/>
    <mergeCell ref="B388:D388"/>
    <mergeCell ref="B422:N423"/>
    <mergeCell ref="A8:N8"/>
    <mergeCell ref="A9:N9"/>
    <mergeCell ref="A10:N10"/>
    <mergeCell ref="A13:A14"/>
    <mergeCell ref="B13:B14"/>
    <mergeCell ref="C13:D13"/>
    <mergeCell ref="F13:N13"/>
    <mergeCell ref="I6:N6"/>
    <mergeCell ref="I1:N1"/>
    <mergeCell ref="I2:N2"/>
    <mergeCell ref="I3:N3"/>
    <mergeCell ref="I4:N4"/>
    <mergeCell ref="I5:N5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06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85"/>
  <sheetViews>
    <sheetView topLeftCell="A76" zoomScale="70" zoomScaleNormal="70" zoomScaleSheetLayoutView="70" workbookViewId="0">
      <selection activeCell="G367" sqref="G367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6" width="16.28515625" customWidth="1"/>
    <col min="7" max="7" width="15.7109375" customWidth="1"/>
    <col min="8" max="8" width="18.28515625" customWidth="1"/>
    <col min="9" max="9" width="18" customWidth="1"/>
    <col min="10" max="10" width="15.140625" customWidth="1"/>
    <col min="11" max="12" width="18" customWidth="1"/>
    <col min="13" max="13" width="15.28515625" customWidth="1"/>
    <col min="14" max="14" width="22.28515625" customWidth="1"/>
    <col min="15" max="15" width="16.42578125" customWidth="1"/>
    <col min="16" max="16" width="12.7109375" customWidth="1"/>
    <col min="17" max="17" width="18.8554687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165"/>
      <c r="P1" s="165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165"/>
      <c r="P2" s="165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165"/>
      <c r="P3" s="165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165"/>
      <c r="P4" s="165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485</v>
      </c>
      <c r="J5" s="440"/>
      <c r="K5" s="440"/>
      <c r="L5" s="440"/>
      <c r="M5" s="440"/>
      <c r="N5" s="440"/>
      <c r="O5" s="165"/>
      <c r="P5" s="165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165"/>
      <c r="P6" s="165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162"/>
      <c r="P8" s="162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162"/>
      <c r="P9" s="162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163"/>
      <c r="P10" s="163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164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66" t="s">
        <v>15</v>
      </c>
      <c r="J14" s="167" t="s">
        <v>13</v>
      </c>
      <c r="K14" s="167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160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173" t="s">
        <v>20</v>
      </c>
      <c r="C16" s="173"/>
      <c r="D16" s="174"/>
      <c r="E16" s="175"/>
      <c r="F16" s="176">
        <f t="shared" ref="F16:N16" si="0">F17+F371</f>
        <v>651322.70000000007</v>
      </c>
      <c r="G16" s="176">
        <f t="shared" si="0"/>
        <v>1597.3000000000004</v>
      </c>
      <c r="H16" s="176">
        <f t="shared" si="0"/>
        <v>651198.20000000007</v>
      </c>
      <c r="I16" s="177">
        <f t="shared" si="0"/>
        <v>2657288.7000000007</v>
      </c>
      <c r="J16" s="176">
        <f t="shared" si="0"/>
        <v>7826.8</v>
      </c>
      <c r="K16" s="177">
        <f t="shared" si="0"/>
        <v>2665515.5000000005</v>
      </c>
      <c r="L16" s="177">
        <f t="shared" si="0"/>
        <v>3308611.4000000004</v>
      </c>
      <c r="M16" s="176">
        <f t="shared" si="0"/>
        <v>9821.4000000000015</v>
      </c>
      <c r="N16" s="177">
        <f t="shared" si="0"/>
        <v>3318432.8000000007</v>
      </c>
      <c r="O16" s="178"/>
      <c r="P16" s="92"/>
    </row>
    <row r="17" spans="1:17" ht="32.450000000000003" customHeight="1" x14ac:dyDescent="0.2">
      <c r="A17" s="16" t="s">
        <v>21</v>
      </c>
      <c r="B17" s="445" t="s">
        <v>22</v>
      </c>
      <c r="C17" s="446"/>
      <c r="D17" s="446"/>
      <c r="E17" s="179"/>
      <c r="F17" s="180">
        <f t="shared" ref="F17:N17" si="1">F18+F34+F39+F77+F89+F127+F198+F233+F242+F290+F312+F328+F360+F364</f>
        <v>605447.70000000007</v>
      </c>
      <c r="G17" s="180">
        <f t="shared" si="1"/>
        <v>1731.1000000000004</v>
      </c>
      <c r="H17" s="180">
        <f t="shared" si="1"/>
        <v>604683.4</v>
      </c>
      <c r="I17" s="181">
        <f t="shared" si="1"/>
        <v>2656520.6000000006</v>
      </c>
      <c r="J17" s="180">
        <f t="shared" si="1"/>
        <v>7826.8</v>
      </c>
      <c r="K17" s="181">
        <f t="shared" si="1"/>
        <v>2664747.4000000004</v>
      </c>
      <c r="L17" s="180">
        <f t="shared" si="1"/>
        <v>3261968.3000000003</v>
      </c>
      <c r="M17" s="180">
        <f t="shared" si="1"/>
        <v>9957.9000000000015</v>
      </c>
      <c r="N17" s="180">
        <f t="shared" si="1"/>
        <v>3271926.2000000007</v>
      </c>
      <c r="O17" s="178"/>
      <c r="P17" s="92"/>
    </row>
    <row r="18" spans="1:17" ht="22.15" customHeight="1" x14ac:dyDescent="0.2">
      <c r="A18" s="19" t="s">
        <v>23</v>
      </c>
      <c r="B18" s="182" t="s">
        <v>24</v>
      </c>
      <c r="C18" s="183" t="s">
        <v>25</v>
      </c>
      <c r="D18" s="184" t="s">
        <v>26</v>
      </c>
      <c r="E18" s="185"/>
      <c r="F18" s="186">
        <f t="shared" ref="F18:N18" si="2">F19+F25</f>
        <v>14840.400000000001</v>
      </c>
      <c r="G18" s="186">
        <f t="shared" si="2"/>
        <v>0</v>
      </c>
      <c r="H18" s="186">
        <f t="shared" si="2"/>
        <v>14840.400000000001</v>
      </c>
      <c r="I18" s="187">
        <f t="shared" si="2"/>
        <v>156</v>
      </c>
      <c r="J18" s="186">
        <f>J19+J25</f>
        <v>0</v>
      </c>
      <c r="K18" s="187">
        <f t="shared" si="2"/>
        <v>556</v>
      </c>
      <c r="L18" s="186">
        <f t="shared" si="2"/>
        <v>14996.400000000001</v>
      </c>
      <c r="M18" s="186">
        <f t="shared" si="2"/>
        <v>400</v>
      </c>
      <c r="N18" s="186">
        <f t="shared" si="2"/>
        <v>15396.400000000001</v>
      </c>
      <c r="O18" s="178"/>
      <c r="P18" s="92"/>
      <c r="Q18" s="25"/>
    </row>
    <row r="19" spans="1:17" ht="47.25" x14ac:dyDescent="0.2">
      <c r="A19" s="42"/>
      <c r="B19" s="168" t="s">
        <v>27</v>
      </c>
      <c r="C19" s="169" t="s">
        <v>28</v>
      </c>
      <c r="D19" s="170" t="s">
        <v>26</v>
      </c>
      <c r="E19" s="171"/>
      <c r="F19" s="172">
        <f>F20+F23</f>
        <v>2346.5</v>
      </c>
      <c r="G19" s="172">
        <f>G20+G23</f>
        <v>0</v>
      </c>
      <c r="H19" s="172">
        <f>H20+H23</f>
        <v>2346.5</v>
      </c>
      <c r="I19" s="188">
        <f>I20+I23</f>
        <v>0</v>
      </c>
      <c r="J19" s="189"/>
      <c r="K19" s="188">
        <f>K20+K23</f>
        <v>400</v>
      </c>
      <c r="L19" s="172">
        <f>L20+L23</f>
        <v>2346.5</v>
      </c>
      <c r="M19" s="172">
        <f>M20+M23</f>
        <v>400</v>
      </c>
      <c r="N19" s="172">
        <f>N20+N23</f>
        <v>2746.5</v>
      </c>
      <c r="O19" s="178"/>
      <c r="P19" s="92"/>
      <c r="Q19" s="48"/>
    </row>
    <row r="20" spans="1:17" ht="47.25" x14ac:dyDescent="0.2">
      <c r="A20" s="42"/>
      <c r="B20" s="168" t="s">
        <v>29</v>
      </c>
      <c r="C20" s="169" t="s">
        <v>30</v>
      </c>
      <c r="D20" s="170" t="s">
        <v>26</v>
      </c>
      <c r="E20" s="171"/>
      <c r="F20" s="172">
        <v>1571</v>
      </c>
      <c r="G20" s="172"/>
      <c r="H20" s="172">
        <f>SUM(F20)</f>
        <v>1571</v>
      </c>
      <c r="I20" s="188">
        <f>I21</f>
        <v>0</v>
      </c>
      <c r="J20" s="189">
        <f>J21+J22</f>
        <v>400</v>
      </c>
      <c r="K20" s="188">
        <f>K21+K22</f>
        <v>400</v>
      </c>
      <c r="L20" s="172">
        <f>SUM(F20)</f>
        <v>1571</v>
      </c>
      <c r="M20" s="172">
        <f>M21+M22</f>
        <v>400</v>
      </c>
      <c r="N20" s="172">
        <f>N21+N22</f>
        <v>1971</v>
      </c>
      <c r="O20" s="178"/>
      <c r="P20" s="92"/>
    </row>
    <row r="21" spans="1:17" ht="67.900000000000006" customHeight="1" x14ac:dyDescent="0.2">
      <c r="A21" s="42"/>
      <c r="B21" s="168" t="s">
        <v>31</v>
      </c>
      <c r="C21" s="169" t="s">
        <v>30</v>
      </c>
      <c r="D21" s="170" t="s">
        <v>32</v>
      </c>
      <c r="E21" s="171"/>
      <c r="F21" s="172">
        <v>1500</v>
      </c>
      <c r="G21" s="172"/>
      <c r="H21" s="172">
        <v>1500</v>
      </c>
      <c r="I21" s="188">
        <v>0</v>
      </c>
      <c r="J21" s="189">
        <v>288.2</v>
      </c>
      <c r="K21" s="188">
        <f>SUM(I21:J21)</f>
        <v>288.2</v>
      </c>
      <c r="L21" s="172">
        <v>1500</v>
      </c>
      <c r="M21" s="172">
        <f>G21+J21</f>
        <v>288.2</v>
      </c>
      <c r="N21" s="172">
        <f>H21+K21</f>
        <v>1788.2</v>
      </c>
      <c r="O21" s="178"/>
      <c r="P21" s="92"/>
    </row>
    <row r="22" spans="1:17" ht="37.15" customHeight="1" x14ac:dyDescent="0.2">
      <c r="A22" s="42"/>
      <c r="B22" s="168" t="s">
        <v>35</v>
      </c>
      <c r="C22" s="169" t="s">
        <v>30</v>
      </c>
      <c r="D22" s="170" t="s">
        <v>36</v>
      </c>
      <c r="E22" s="171"/>
      <c r="F22" s="172">
        <v>71</v>
      </c>
      <c r="G22" s="172"/>
      <c r="H22" s="172">
        <v>71</v>
      </c>
      <c r="I22" s="188"/>
      <c r="J22" s="189">
        <v>111.8</v>
      </c>
      <c r="K22" s="188">
        <f>SUM(I22:J22)</f>
        <v>111.8</v>
      </c>
      <c r="L22" s="172">
        <f>SUM(F22)</f>
        <v>71</v>
      </c>
      <c r="M22" s="172">
        <f>G22+J22</f>
        <v>111.8</v>
      </c>
      <c r="N22" s="172">
        <f>H22+K22</f>
        <v>182.8</v>
      </c>
      <c r="O22" s="178"/>
      <c r="P22" s="92"/>
    </row>
    <row r="23" spans="1:17" ht="36" customHeight="1" x14ac:dyDescent="0.2">
      <c r="A23" s="42"/>
      <c r="B23" s="168" t="s">
        <v>33</v>
      </c>
      <c r="C23" s="169" t="s">
        <v>34</v>
      </c>
      <c r="D23" s="170" t="s">
        <v>26</v>
      </c>
      <c r="E23" s="171"/>
      <c r="F23" s="172">
        <f>F24</f>
        <v>775.5</v>
      </c>
      <c r="G23" s="172">
        <f>G24</f>
        <v>0</v>
      </c>
      <c r="H23" s="172">
        <f>H24</f>
        <v>775.5</v>
      </c>
      <c r="I23" s="188">
        <f>I24</f>
        <v>0</v>
      </c>
      <c r="J23" s="189"/>
      <c r="K23" s="188">
        <f>K24</f>
        <v>0</v>
      </c>
      <c r="L23" s="172">
        <f>L24</f>
        <v>775.5</v>
      </c>
      <c r="M23" s="172">
        <f>M24</f>
        <v>0</v>
      </c>
      <c r="N23" s="172">
        <f>N24</f>
        <v>775.5</v>
      </c>
      <c r="O23" s="178"/>
      <c r="P23" s="92"/>
    </row>
    <row r="24" spans="1:17" ht="31.5" x14ac:dyDescent="0.2">
      <c r="A24" s="42"/>
      <c r="B24" s="168" t="s">
        <v>35</v>
      </c>
      <c r="C24" s="169" t="s">
        <v>34</v>
      </c>
      <c r="D24" s="170" t="s">
        <v>36</v>
      </c>
      <c r="E24" s="171"/>
      <c r="F24" s="172">
        <v>775.5</v>
      </c>
      <c r="G24" s="172"/>
      <c r="H24" s="172">
        <f>SUM(F24)</f>
        <v>775.5</v>
      </c>
      <c r="I24" s="188">
        <v>0</v>
      </c>
      <c r="J24" s="189"/>
      <c r="K24" s="188">
        <v>0</v>
      </c>
      <c r="L24" s="172">
        <f>SUM(F24)</f>
        <v>775.5</v>
      </c>
      <c r="M24" s="172">
        <f>SUM(G24)</f>
        <v>0</v>
      </c>
      <c r="N24" s="172">
        <f>SUM(L24)</f>
        <v>775.5</v>
      </c>
      <c r="O24" s="178"/>
      <c r="P24" s="92"/>
    </row>
    <row r="25" spans="1:17" ht="47.25" x14ac:dyDescent="0.2">
      <c r="A25" s="42"/>
      <c r="B25" s="168" t="s">
        <v>37</v>
      </c>
      <c r="C25" s="169" t="s">
        <v>38</v>
      </c>
      <c r="D25" s="170" t="s">
        <v>26</v>
      </c>
      <c r="E25" s="171"/>
      <c r="F25" s="172">
        <f>F26+F30</f>
        <v>12493.900000000001</v>
      </c>
      <c r="G25" s="172">
        <f>G26+G30</f>
        <v>0</v>
      </c>
      <c r="H25" s="172">
        <f>H26+H30</f>
        <v>12493.900000000001</v>
      </c>
      <c r="I25" s="188">
        <f>I26+I30+I32</f>
        <v>156</v>
      </c>
      <c r="J25" s="189">
        <f>SUM(J32)</f>
        <v>0</v>
      </c>
      <c r="K25" s="188">
        <f>K26+K30+K32</f>
        <v>156</v>
      </c>
      <c r="L25" s="172">
        <f>L26+L30+L33</f>
        <v>12649.900000000001</v>
      </c>
      <c r="M25" s="172">
        <f>M26+M30+J25</f>
        <v>0</v>
      </c>
      <c r="N25" s="172">
        <f>N26+N30+N33</f>
        <v>12649.900000000001</v>
      </c>
      <c r="O25" s="178"/>
      <c r="P25" s="92"/>
    </row>
    <row r="26" spans="1:17" ht="31.5" x14ac:dyDescent="0.2">
      <c r="A26" s="42"/>
      <c r="B26" s="168" t="s">
        <v>39</v>
      </c>
      <c r="C26" s="169" t="s">
        <v>40</v>
      </c>
      <c r="D26" s="170" t="s">
        <v>26</v>
      </c>
      <c r="E26" s="171"/>
      <c r="F26" s="172">
        <f>F27+F28+F29</f>
        <v>11608.800000000001</v>
      </c>
      <c r="G26" s="172">
        <f>G27+G28+G29</f>
        <v>0</v>
      </c>
      <c r="H26" s="172">
        <f>H27+H28+H29</f>
        <v>11608.800000000001</v>
      </c>
      <c r="I26" s="188">
        <f>I27+I28+I29</f>
        <v>0</v>
      </c>
      <c r="J26" s="189">
        <f>SUM(I27)+J28</f>
        <v>0</v>
      </c>
      <c r="K26" s="188">
        <f>K27+K28+K29</f>
        <v>0</v>
      </c>
      <c r="L26" s="172">
        <f>L27+L28+L29</f>
        <v>11608.800000000001</v>
      </c>
      <c r="M26" s="172">
        <f>M27+M28+M29</f>
        <v>0</v>
      </c>
      <c r="N26" s="172">
        <f>N27+N28+N29</f>
        <v>11608.800000000001</v>
      </c>
      <c r="O26" s="178"/>
      <c r="P26" s="92"/>
    </row>
    <row r="27" spans="1:17" ht="67.900000000000006" customHeight="1" x14ac:dyDescent="0.2">
      <c r="A27" s="42"/>
      <c r="B27" s="168" t="s">
        <v>31</v>
      </c>
      <c r="C27" s="169" t="s">
        <v>40</v>
      </c>
      <c r="D27" s="170" t="s">
        <v>32</v>
      </c>
      <c r="E27" s="171"/>
      <c r="F27" s="172">
        <v>8949.5</v>
      </c>
      <c r="G27" s="172"/>
      <c r="H27" s="172">
        <f>SUM(F27)+G27</f>
        <v>8949.5</v>
      </c>
      <c r="I27" s="188">
        <v>0</v>
      </c>
      <c r="J27" s="189"/>
      <c r="K27" s="188">
        <v>0</v>
      </c>
      <c r="L27" s="172">
        <f>SUM(F27)</f>
        <v>8949.5</v>
      </c>
      <c r="M27" s="172">
        <f>SUM(G27)</f>
        <v>0</v>
      </c>
      <c r="N27" s="172">
        <f>SUM(H27)</f>
        <v>8949.5</v>
      </c>
      <c r="O27" s="178"/>
      <c r="P27" s="92"/>
    </row>
    <row r="28" spans="1:17" ht="31.5" x14ac:dyDescent="0.2">
      <c r="A28" s="42"/>
      <c r="B28" s="168" t="s">
        <v>35</v>
      </c>
      <c r="C28" s="169" t="s">
        <v>40</v>
      </c>
      <c r="D28" s="170" t="s">
        <v>36</v>
      </c>
      <c r="E28" s="171"/>
      <c r="F28" s="172">
        <v>2655.6</v>
      </c>
      <c r="G28" s="172"/>
      <c r="H28" s="172">
        <f>SUM(F28)+G28</f>
        <v>2655.6</v>
      </c>
      <c r="I28" s="188">
        <v>0</v>
      </c>
      <c r="J28" s="189"/>
      <c r="K28" s="188">
        <f>SUM(J28)</f>
        <v>0</v>
      </c>
      <c r="L28" s="172">
        <f>SUM(F28)</f>
        <v>2655.6</v>
      </c>
      <c r="M28" s="172">
        <f>SUM(G28+J28)</f>
        <v>0</v>
      </c>
      <c r="N28" s="172">
        <f>SUM(H28)</f>
        <v>2655.6</v>
      </c>
      <c r="O28" s="178"/>
      <c r="P28" s="92"/>
    </row>
    <row r="29" spans="1:17" ht="18.75" x14ac:dyDescent="0.2">
      <c r="A29" s="42"/>
      <c r="B29" s="168" t="s">
        <v>41</v>
      </c>
      <c r="C29" s="169" t="s">
        <v>40</v>
      </c>
      <c r="D29" s="170" t="s">
        <v>42</v>
      </c>
      <c r="E29" s="171"/>
      <c r="F29" s="172">
        <v>3.7</v>
      </c>
      <c r="G29" s="172"/>
      <c r="H29" s="172">
        <v>3.7</v>
      </c>
      <c r="I29" s="188">
        <v>0</v>
      </c>
      <c r="J29" s="189"/>
      <c r="K29" s="188">
        <v>0</v>
      </c>
      <c r="L29" s="172">
        <v>3.7</v>
      </c>
      <c r="M29" s="172"/>
      <c r="N29" s="172">
        <v>3.7</v>
      </c>
      <c r="O29" s="178"/>
      <c r="P29" s="92"/>
    </row>
    <row r="30" spans="1:17" ht="31.5" x14ac:dyDescent="0.2">
      <c r="A30" s="42"/>
      <c r="B30" s="168" t="s">
        <v>43</v>
      </c>
      <c r="C30" s="169" t="s">
        <v>44</v>
      </c>
      <c r="D30" s="170" t="s">
        <v>26</v>
      </c>
      <c r="E30" s="171"/>
      <c r="F30" s="172">
        <f>F31</f>
        <v>885.1</v>
      </c>
      <c r="G30" s="172">
        <f>G31</f>
        <v>0</v>
      </c>
      <c r="H30" s="172">
        <f>H31</f>
        <v>885.1</v>
      </c>
      <c r="I30" s="188">
        <f>I31</f>
        <v>0</v>
      </c>
      <c r="J30" s="189"/>
      <c r="K30" s="188">
        <f>K31</f>
        <v>0</v>
      </c>
      <c r="L30" s="172">
        <f>L31</f>
        <v>885.1</v>
      </c>
      <c r="M30" s="172">
        <f>M31</f>
        <v>0</v>
      </c>
      <c r="N30" s="172">
        <f>N31</f>
        <v>885.1</v>
      </c>
      <c r="O30" s="178"/>
      <c r="P30" s="92"/>
    </row>
    <row r="31" spans="1:17" ht="31.5" x14ac:dyDescent="0.2">
      <c r="A31" s="42"/>
      <c r="B31" s="168" t="s">
        <v>35</v>
      </c>
      <c r="C31" s="169" t="s">
        <v>44</v>
      </c>
      <c r="D31" s="170" t="s">
        <v>36</v>
      </c>
      <c r="E31" s="171"/>
      <c r="F31" s="172">
        <v>885.1</v>
      </c>
      <c r="G31" s="172"/>
      <c r="H31" s="172">
        <f>SUM(F31)</f>
        <v>885.1</v>
      </c>
      <c r="I31" s="188">
        <v>0</v>
      </c>
      <c r="J31" s="189"/>
      <c r="K31" s="188">
        <v>0</v>
      </c>
      <c r="L31" s="172">
        <f>SUM(F31)</f>
        <v>885.1</v>
      </c>
      <c r="M31" s="172">
        <f>SUM(G31)</f>
        <v>0</v>
      </c>
      <c r="N31" s="172">
        <f>SUM(H31)</f>
        <v>885.1</v>
      </c>
      <c r="O31" s="178"/>
      <c r="P31" s="92"/>
    </row>
    <row r="32" spans="1:17" ht="63" x14ac:dyDescent="0.2">
      <c r="A32" s="42"/>
      <c r="B32" s="158" t="s">
        <v>45</v>
      </c>
      <c r="C32" s="169" t="s">
        <v>46</v>
      </c>
      <c r="D32" s="170"/>
      <c r="E32" s="171"/>
      <c r="F32" s="172"/>
      <c r="G32" s="172"/>
      <c r="H32" s="172"/>
      <c r="I32" s="188">
        <f>SUM(I33)</f>
        <v>156</v>
      </c>
      <c r="J32" s="189">
        <f>SUM(J33)</f>
        <v>0</v>
      </c>
      <c r="K32" s="188">
        <f>SUM(I32)</f>
        <v>156</v>
      </c>
      <c r="L32" s="172">
        <f>SUM(I32)</f>
        <v>156</v>
      </c>
      <c r="M32" s="172"/>
      <c r="N32" s="172">
        <f>SUM(K32)</f>
        <v>156</v>
      </c>
      <c r="O32" s="178"/>
      <c r="P32" s="92"/>
    </row>
    <row r="33" spans="1:17" ht="31.5" x14ac:dyDescent="0.2">
      <c r="A33" s="42"/>
      <c r="B33" s="168" t="s">
        <v>35</v>
      </c>
      <c r="C33" s="169" t="s">
        <v>46</v>
      </c>
      <c r="D33" s="170" t="s">
        <v>36</v>
      </c>
      <c r="E33" s="171"/>
      <c r="F33" s="172"/>
      <c r="G33" s="172"/>
      <c r="H33" s="172"/>
      <c r="I33" s="188">
        <v>156</v>
      </c>
      <c r="J33" s="189"/>
      <c r="K33" s="188">
        <f>SUM(I33)</f>
        <v>156</v>
      </c>
      <c r="L33" s="172">
        <f>SUM(I33)</f>
        <v>156</v>
      </c>
      <c r="M33" s="172">
        <f>SUM(J33)</f>
        <v>0</v>
      </c>
      <c r="N33" s="172">
        <f>SUM(K33)</f>
        <v>156</v>
      </c>
      <c r="O33" s="178"/>
      <c r="P33" s="92"/>
    </row>
    <row r="34" spans="1:17" ht="31.5" x14ac:dyDescent="0.2">
      <c r="A34" s="19" t="s">
        <v>47</v>
      </c>
      <c r="B34" s="182" t="s">
        <v>48</v>
      </c>
      <c r="C34" s="183" t="s">
        <v>49</v>
      </c>
      <c r="D34" s="184" t="s">
        <v>26</v>
      </c>
      <c r="E34" s="185"/>
      <c r="F34" s="186">
        <f t="shared" ref="F34:N35" si="3">F35</f>
        <v>1813.8</v>
      </c>
      <c r="G34" s="186">
        <f t="shared" si="3"/>
        <v>0</v>
      </c>
      <c r="H34" s="186">
        <f t="shared" si="3"/>
        <v>1813.8</v>
      </c>
      <c r="I34" s="187">
        <f t="shared" si="3"/>
        <v>0</v>
      </c>
      <c r="J34" s="186">
        <f t="shared" si="3"/>
        <v>0</v>
      </c>
      <c r="K34" s="187">
        <f t="shared" si="3"/>
        <v>0</v>
      </c>
      <c r="L34" s="186">
        <f t="shared" si="3"/>
        <v>1813.8</v>
      </c>
      <c r="M34" s="186">
        <f t="shared" si="3"/>
        <v>0</v>
      </c>
      <c r="N34" s="186">
        <f t="shared" si="3"/>
        <v>1813.8</v>
      </c>
      <c r="O34" s="178"/>
      <c r="P34" s="92"/>
    </row>
    <row r="35" spans="1:17" ht="50.45" customHeight="1" x14ac:dyDescent="0.2">
      <c r="A35" s="42"/>
      <c r="B35" s="168" t="s">
        <v>50</v>
      </c>
      <c r="C35" s="169" t="s">
        <v>51</v>
      </c>
      <c r="D35" s="170" t="s">
        <v>26</v>
      </c>
      <c r="E35" s="171"/>
      <c r="F35" s="172">
        <f t="shared" si="3"/>
        <v>1813.8</v>
      </c>
      <c r="G35" s="172">
        <f t="shared" si="3"/>
        <v>0</v>
      </c>
      <c r="H35" s="172">
        <f t="shared" si="3"/>
        <v>1813.8</v>
      </c>
      <c r="I35" s="188">
        <f t="shared" si="3"/>
        <v>0</v>
      </c>
      <c r="J35" s="189"/>
      <c r="K35" s="188">
        <f t="shared" si="3"/>
        <v>0</v>
      </c>
      <c r="L35" s="172">
        <f t="shared" si="3"/>
        <v>1813.8</v>
      </c>
      <c r="M35" s="172">
        <f t="shared" si="3"/>
        <v>0</v>
      </c>
      <c r="N35" s="172">
        <f t="shared" si="3"/>
        <v>1813.8</v>
      </c>
      <c r="O35" s="178"/>
      <c r="P35" s="92"/>
    </row>
    <row r="36" spans="1:17" ht="36.6" customHeight="1" x14ac:dyDescent="0.2">
      <c r="A36" s="42"/>
      <c r="B36" s="168" t="s">
        <v>52</v>
      </c>
      <c r="C36" s="169" t="s">
        <v>53</v>
      </c>
      <c r="D36" s="170" t="s">
        <v>26</v>
      </c>
      <c r="E36" s="171"/>
      <c r="F36" s="172">
        <f>F37+F38</f>
        <v>1813.8</v>
      </c>
      <c r="G36" s="172">
        <f>G37+G38</f>
        <v>0</v>
      </c>
      <c r="H36" s="172">
        <f>H37+H38</f>
        <v>1813.8</v>
      </c>
      <c r="I36" s="188">
        <f>I37+I38</f>
        <v>0</v>
      </c>
      <c r="J36" s="189"/>
      <c r="K36" s="188">
        <f>K37+K38</f>
        <v>0</v>
      </c>
      <c r="L36" s="172">
        <f>L37+L38</f>
        <v>1813.8</v>
      </c>
      <c r="M36" s="172">
        <f>M37+M38</f>
        <v>0</v>
      </c>
      <c r="N36" s="172">
        <f>N37+N38</f>
        <v>1813.8</v>
      </c>
      <c r="O36" s="178"/>
      <c r="P36" s="92"/>
    </row>
    <row r="37" spans="1:17" ht="31.5" x14ac:dyDescent="0.2">
      <c r="A37" s="42"/>
      <c r="B37" s="168" t="s">
        <v>35</v>
      </c>
      <c r="C37" s="169" t="s">
        <v>53</v>
      </c>
      <c r="D37" s="170" t="s">
        <v>36</v>
      </c>
      <c r="E37" s="171"/>
      <c r="F37" s="172">
        <v>300</v>
      </c>
      <c r="G37" s="172"/>
      <c r="H37" s="172">
        <v>300</v>
      </c>
      <c r="I37" s="188"/>
      <c r="J37" s="189"/>
      <c r="K37" s="188"/>
      <c r="L37" s="172">
        <v>300</v>
      </c>
      <c r="M37" s="172"/>
      <c r="N37" s="172">
        <v>300</v>
      </c>
      <c r="O37" s="178"/>
      <c r="P37" s="92"/>
    </row>
    <row r="38" spans="1:17" ht="18.75" x14ac:dyDescent="0.2">
      <c r="A38" s="42"/>
      <c r="B38" s="168" t="s">
        <v>54</v>
      </c>
      <c r="C38" s="169" t="s">
        <v>53</v>
      </c>
      <c r="D38" s="170" t="s">
        <v>55</v>
      </c>
      <c r="E38" s="171"/>
      <c r="F38" s="172">
        <v>1513.8</v>
      </c>
      <c r="G38" s="172"/>
      <c r="H38" s="172">
        <v>1513.8</v>
      </c>
      <c r="I38" s="188"/>
      <c r="J38" s="189"/>
      <c r="K38" s="188"/>
      <c r="L38" s="172">
        <v>1513.8</v>
      </c>
      <c r="M38" s="172"/>
      <c r="N38" s="172">
        <v>1513.8</v>
      </c>
      <c r="O38" s="178"/>
      <c r="P38" s="92"/>
    </row>
    <row r="39" spans="1:17" ht="31.5" x14ac:dyDescent="0.2">
      <c r="A39" s="19" t="s">
        <v>56</v>
      </c>
      <c r="B39" s="182" t="s">
        <v>57</v>
      </c>
      <c r="C39" s="183" t="s">
        <v>58</v>
      </c>
      <c r="D39" s="184" t="s">
        <v>26</v>
      </c>
      <c r="E39" s="185"/>
      <c r="F39" s="186">
        <f t="shared" ref="F39:N39" si="4">F40+F48+F71</f>
        <v>139329.9</v>
      </c>
      <c r="G39" s="186">
        <f>G40+G48+G71</f>
        <v>230</v>
      </c>
      <c r="H39" s="186">
        <f t="shared" si="4"/>
        <v>139559.9</v>
      </c>
      <c r="I39" s="187">
        <f t="shared" si="4"/>
        <v>21624.100000000002</v>
      </c>
      <c r="J39" s="186">
        <f t="shared" si="4"/>
        <v>500</v>
      </c>
      <c r="K39" s="187">
        <f t="shared" si="4"/>
        <v>22124.100000000002</v>
      </c>
      <c r="L39" s="186">
        <f t="shared" si="4"/>
        <v>160953.99999999997</v>
      </c>
      <c r="M39" s="186">
        <f t="shared" si="4"/>
        <v>730</v>
      </c>
      <c r="N39" s="186">
        <f t="shared" si="4"/>
        <v>161683.99999999997</v>
      </c>
      <c r="O39" s="178"/>
      <c r="P39" s="92"/>
      <c r="Q39" s="25"/>
    </row>
    <row r="40" spans="1:17" ht="18.75" x14ac:dyDescent="0.2">
      <c r="A40" s="49"/>
      <c r="B40" s="190" t="s">
        <v>59</v>
      </c>
      <c r="C40" s="191" t="s">
        <v>60</v>
      </c>
      <c r="D40" s="192" t="s">
        <v>26</v>
      </c>
      <c r="E40" s="193"/>
      <c r="F40" s="194">
        <f>F41</f>
        <v>6334.3</v>
      </c>
      <c r="G40" s="194">
        <f>G41</f>
        <v>0</v>
      </c>
      <c r="H40" s="194">
        <f>H41</f>
        <v>6334.3</v>
      </c>
      <c r="I40" s="195">
        <f>I41</f>
        <v>0</v>
      </c>
      <c r="J40" s="196"/>
      <c r="K40" s="195">
        <f>K41</f>
        <v>0</v>
      </c>
      <c r="L40" s="194">
        <f>L41</f>
        <v>6334.3</v>
      </c>
      <c r="M40" s="194">
        <f>M41</f>
        <v>0</v>
      </c>
      <c r="N40" s="194">
        <f>N41</f>
        <v>6334.3</v>
      </c>
      <c r="O40" s="178"/>
      <c r="P40" s="92"/>
    </row>
    <row r="41" spans="1:17" ht="18.75" x14ac:dyDescent="0.2">
      <c r="A41" s="42"/>
      <c r="B41" s="168" t="s">
        <v>61</v>
      </c>
      <c r="C41" s="169" t="s">
        <v>62</v>
      </c>
      <c r="D41" s="170" t="s">
        <v>26</v>
      </c>
      <c r="E41" s="171"/>
      <c r="F41" s="172">
        <f>F42+F44+F46</f>
        <v>6334.3</v>
      </c>
      <c r="G41" s="172">
        <f>G42+G44+G46</f>
        <v>0</v>
      </c>
      <c r="H41" s="172">
        <f>H42+H44+H46</f>
        <v>6334.3</v>
      </c>
      <c r="I41" s="188">
        <f>I42+I44+I46</f>
        <v>0</v>
      </c>
      <c r="J41" s="189"/>
      <c r="K41" s="188">
        <f>K42+K44+K46</f>
        <v>0</v>
      </c>
      <c r="L41" s="172">
        <f>L42+L44+L46</f>
        <v>6334.3</v>
      </c>
      <c r="M41" s="172">
        <f>M42+M44+M46</f>
        <v>0</v>
      </c>
      <c r="N41" s="172">
        <f>N42+N44+N46</f>
        <v>6334.3</v>
      </c>
      <c r="O41" s="178"/>
      <c r="P41" s="92"/>
    </row>
    <row r="42" spans="1:17" ht="18.75" x14ac:dyDescent="0.2">
      <c r="A42" s="42"/>
      <c r="B42" s="168" t="s">
        <v>63</v>
      </c>
      <c r="C42" s="169" t="s">
        <v>64</v>
      </c>
      <c r="D42" s="170" t="s">
        <v>26</v>
      </c>
      <c r="E42" s="171"/>
      <c r="F42" s="172">
        <f>F43</f>
        <v>6034.3</v>
      </c>
      <c r="G42" s="172">
        <f>G43</f>
        <v>0</v>
      </c>
      <c r="H42" s="172">
        <f>H43</f>
        <v>6034.3</v>
      </c>
      <c r="I42" s="188">
        <f>I43</f>
        <v>0</v>
      </c>
      <c r="J42" s="189"/>
      <c r="K42" s="188">
        <f>K43</f>
        <v>0</v>
      </c>
      <c r="L42" s="172">
        <f>L43</f>
        <v>6034.3</v>
      </c>
      <c r="M42" s="172">
        <f>M43</f>
        <v>0</v>
      </c>
      <c r="N42" s="172">
        <f>N43</f>
        <v>6034.3</v>
      </c>
      <c r="O42" s="178"/>
      <c r="P42" s="92"/>
    </row>
    <row r="43" spans="1:17" ht="31.5" x14ac:dyDescent="0.2">
      <c r="A43" s="42"/>
      <c r="B43" s="168" t="s">
        <v>35</v>
      </c>
      <c r="C43" s="169" t="s">
        <v>64</v>
      </c>
      <c r="D43" s="170" t="s">
        <v>36</v>
      </c>
      <c r="E43" s="171"/>
      <c r="F43" s="172">
        <v>6034.3</v>
      </c>
      <c r="G43" s="172"/>
      <c r="H43" s="172">
        <f>SUM(F43)</f>
        <v>6034.3</v>
      </c>
      <c r="I43" s="188">
        <v>0</v>
      </c>
      <c r="J43" s="189"/>
      <c r="K43" s="188">
        <v>0</v>
      </c>
      <c r="L43" s="172">
        <f>SUM(F43)</f>
        <v>6034.3</v>
      </c>
      <c r="M43" s="172">
        <f>SUM(G43)</f>
        <v>0</v>
      </c>
      <c r="N43" s="172">
        <f>SUM(L43)</f>
        <v>6034.3</v>
      </c>
      <c r="O43" s="178"/>
      <c r="P43" s="92"/>
    </row>
    <row r="44" spans="1:17" ht="18.75" x14ac:dyDescent="0.2">
      <c r="A44" s="42"/>
      <c r="B44" s="168" t="s">
        <v>65</v>
      </c>
      <c r="C44" s="169" t="s">
        <v>66</v>
      </c>
      <c r="D44" s="170" t="s">
        <v>26</v>
      </c>
      <c r="E44" s="171"/>
      <c r="F44" s="172">
        <f>F45</f>
        <v>300</v>
      </c>
      <c r="G44" s="172">
        <f>G45</f>
        <v>0</v>
      </c>
      <c r="H44" s="172">
        <f>H45</f>
        <v>300</v>
      </c>
      <c r="I44" s="188">
        <f>I45</f>
        <v>0</v>
      </c>
      <c r="J44" s="189"/>
      <c r="K44" s="188">
        <f>K45</f>
        <v>0</v>
      </c>
      <c r="L44" s="172">
        <f>L45</f>
        <v>300</v>
      </c>
      <c r="M44" s="172">
        <f>M45</f>
        <v>0</v>
      </c>
      <c r="N44" s="172">
        <f>N45</f>
        <v>300</v>
      </c>
      <c r="O44" s="178"/>
      <c r="P44" s="92"/>
    </row>
    <row r="45" spans="1:17" ht="31.5" x14ac:dyDescent="0.2">
      <c r="A45" s="42"/>
      <c r="B45" s="168" t="s">
        <v>35</v>
      </c>
      <c r="C45" s="169" t="s">
        <v>66</v>
      </c>
      <c r="D45" s="170" t="s">
        <v>36</v>
      </c>
      <c r="E45" s="171"/>
      <c r="F45" s="172">
        <v>300</v>
      </c>
      <c r="G45" s="172"/>
      <c r="H45" s="172">
        <v>300</v>
      </c>
      <c r="I45" s="188">
        <v>0</v>
      </c>
      <c r="J45" s="189"/>
      <c r="K45" s="188">
        <v>0</v>
      </c>
      <c r="L45" s="172">
        <v>300</v>
      </c>
      <c r="M45" s="172"/>
      <c r="N45" s="172">
        <v>300</v>
      </c>
      <c r="O45" s="178"/>
      <c r="P45" s="92"/>
    </row>
    <row r="46" spans="1:17" ht="18.75" x14ac:dyDescent="0.2">
      <c r="A46" s="42"/>
      <c r="B46" s="168" t="s">
        <v>67</v>
      </c>
      <c r="C46" s="169" t="s">
        <v>68</v>
      </c>
      <c r="D46" s="170" t="s">
        <v>26</v>
      </c>
      <c r="E46" s="171"/>
      <c r="F46" s="172">
        <f>F47</f>
        <v>0</v>
      </c>
      <c r="G46" s="172">
        <f>G47</f>
        <v>0</v>
      </c>
      <c r="H46" s="172">
        <f>H47</f>
        <v>0</v>
      </c>
      <c r="I46" s="188">
        <f>I47</f>
        <v>0</v>
      </c>
      <c r="J46" s="189"/>
      <c r="K46" s="188">
        <f>K47</f>
        <v>0</v>
      </c>
      <c r="L46" s="172">
        <f>L47</f>
        <v>0</v>
      </c>
      <c r="M46" s="172">
        <f>M47</f>
        <v>0</v>
      </c>
      <c r="N46" s="172">
        <f>N47</f>
        <v>0</v>
      </c>
      <c r="O46" s="178"/>
      <c r="P46" s="92"/>
    </row>
    <row r="47" spans="1:17" ht="31.5" x14ac:dyDescent="0.2">
      <c r="A47" s="42"/>
      <c r="B47" s="168" t="s">
        <v>35</v>
      </c>
      <c r="C47" s="169" t="s">
        <v>68</v>
      </c>
      <c r="D47" s="170" t="s">
        <v>36</v>
      </c>
      <c r="E47" s="171"/>
      <c r="F47" s="172"/>
      <c r="G47" s="172"/>
      <c r="H47" s="172"/>
      <c r="I47" s="188">
        <v>0</v>
      </c>
      <c r="J47" s="189"/>
      <c r="K47" s="188">
        <v>0</v>
      </c>
      <c r="L47" s="172"/>
      <c r="M47" s="172"/>
      <c r="N47" s="172"/>
      <c r="O47" s="178"/>
      <c r="P47" s="92"/>
    </row>
    <row r="48" spans="1:17" ht="47.25" x14ac:dyDescent="0.2">
      <c r="A48" s="49"/>
      <c r="B48" s="190" t="s">
        <v>69</v>
      </c>
      <c r="C48" s="191" t="s">
        <v>70</v>
      </c>
      <c r="D48" s="192" t="s">
        <v>26</v>
      </c>
      <c r="E48" s="193"/>
      <c r="F48" s="194">
        <f t="shared" ref="F48:N48" si="5">F49+F66</f>
        <v>130904.99999999999</v>
      </c>
      <c r="G48" s="194">
        <f t="shared" si="5"/>
        <v>230</v>
      </c>
      <c r="H48" s="194">
        <f t="shared" si="5"/>
        <v>131135</v>
      </c>
      <c r="I48" s="195">
        <f t="shared" si="5"/>
        <v>21624.100000000002</v>
      </c>
      <c r="J48" s="194">
        <f t="shared" si="5"/>
        <v>500</v>
      </c>
      <c r="K48" s="195">
        <f t="shared" si="5"/>
        <v>22124.100000000002</v>
      </c>
      <c r="L48" s="194">
        <f t="shared" si="5"/>
        <v>152529.09999999998</v>
      </c>
      <c r="M48" s="194">
        <f t="shared" si="5"/>
        <v>730</v>
      </c>
      <c r="N48" s="194">
        <f t="shared" si="5"/>
        <v>153259.09999999998</v>
      </c>
      <c r="O48" s="178"/>
      <c r="P48" s="92"/>
      <c r="Q48" s="55"/>
    </row>
    <row r="49" spans="1:17" ht="36.6" customHeight="1" x14ac:dyDescent="0.2">
      <c r="A49" s="42"/>
      <c r="B49" s="168" t="s">
        <v>71</v>
      </c>
      <c r="C49" s="169" t="s">
        <v>72</v>
      </c>
      <c r="D49" s="170" t="s">
        <v>26</v>
      </c>
      <c r="E49" s="171"/>
      <c r="F49" s="172">
        <f>F50+F57+F61+F63+F55</f>
        <v>120188.49999999999</v>
      </c>
      <c r="G49" s="172">
        <f>G50+G57+G61+G63+G55</f>
        <v>230</v>
      </c>
      <c r="H49" s="172">
        <f>H50+H57+H61+H63+H55</f>
        <v>120418.49999999999</v>
      </c>
      <c r="I49" s="172">
        <f>I50+I57+I61+I63+I55</f>
        <v>21624.100000000002</v>
      </c>
      <c r="J49" s="172">
        <f>SUM(J55)+J50+J57+J59</f>
        <v>500</v>
      </c>
      <c r="K49" s="172">
        <f>K50+K57+K61+K63+K55+K59</f>
        <v>22124.100000000002</v>
      </c>
      <c r="L49" s="172">
        <f>L50+L57+L61+L63+L55</f>
        <v>141812.59999999998</v>
      </c>
      <c r="M49" s="172">
        <f>M50+M57+M61+M63+M55+M59</f>
        <v>730</v>
      </c>
      <c r="N49" s="172">
        <f>N50+N57+N61+N63+N55+N59</f>
        <v>142542.59999999998</v>
      </c>
      <c r="O49" s="178"/>
      <c r="P49" s="92"/>
      <c r="Q49" s="48"/>
    </row>
    <row r="50" spans="1:17" ht="31.5" x14ac:dyDescent="0.2">
      <c r="A50" s="42"/>
      <c r="B50" s="168" t="s">
        <v>39</v>
      </c>
      <c r="C50" s="169" t="s">
        <v>73</v>
      </c>
      <c r="D50" s="170" t="s">
        <v>26</v>
      </c>
      <c r="E50" s="171"/>
      <c r="F50" s="172">
        <f>SUM(F53+F54+F52)+F51</f>
        <v>115445</v>
      </c>
      <c r="G50" s="172">
        <f>G51+G52+G53+G54</f>
        <v>0</v>
      </c>
      <c r="H50" s="172">
        <f>H51+H52+H53+H54</f>
        <v>115445</v>
      </c>
      <c r="I50" s="188">
        <f>I51+I52+I53+I54</f>
        <v>16215.400000000001</v>
      </c>
      <c r="J50" s="189">
        <f>SUM(J53+J51)</f>
        <v>0</v>
      </c>
      <c r="K50" s="188">
        <f>K51+K52+K53+K54</f>
        <v>16215.400000000001</v>
      </c>
      <c r="L50" s="172">
        <f>L51+L52+L53+L54</f>
        <v>131660.4</v>
      </c>
      <c r="M50" s="172">
        <f>M51+M52+M53+M54</f>
        <v>0</v>
      </c>
      <c r="N50" s="172">
        <f>N51+N52+N53+N54</f>
        <v>131660.4</v>
      </c>
      <c r="O50" s="178"/>
      <c r="P50" s="92"/>
    </row>
    <row r="51" spans="1:17" ht="64.150000000000006" customHeight="1" x14ac:dyDescent="0.2">
      <c r="A51" s="42"/>
      <c r="B51" s="168" t="s">
        <v>31</v>
      </c>
      <c r="C51" s="169" t="s">
        <v>73</v>
      </c>
      <c r="D51" s="170" t="s">
        <v>32</v>
      </c>
      <c r="E51" s="171"/>
      <c r="F51" s="172">
        <f>20290.4+351.1</f>
        <v>20641.5</v>
      </c>
      <c r="G51" s="172"/>
      <c r="H51" s="172">
        <f>20290.4+351.1</f>
        <v>20641.5</v>
      </c>
      <c r="I51" s="188">
        <v>2756.8</v>
      </c>
      <c r="J51" s="189"/>
      <c r="K51" s="188">
        <f>SUM(I51)</f>
        <v>2756.8</v>
      </c>
      <c r="L51" s="172">
        <f>20290.4+351.1+I51</f>
        <v>23398.3</v>
      </c>
      <c r="M51" s="172">
        <f>SUM(J51)</f>
        <v>0</v>
      </c>
      <c r="N51" s="172">
        <f>20290.4+351.1+K51</f>
        <v>23398.3</v>
      </c>
      <c r="O51" s="178"/>
      <c r="P51" s="92"/>
    </row>
    <row r="52" spans="1:17" ht="31.5" x14ac:dyDescent="0.2">
      <c r="A52" s="42"/>
      <c r="B52" s="168" t="s">
        <v>35</v>
      </c>
      <c r="C52" s="169" t="s">
        <v>73</v>
      </c>
      <c r="D52" s="170" t="s">
        <v>36</v>
      </c>
      <c r="E52" s="171"/>
      <c r="F52" s="172">
        <v>6910.7</v>
      </c>
      <c r="G52" s="172"/>
      <c r="H52" s="172">
        <f>SUM(F52)</f>
        <v>6910.7</v>
      </c>
      <c r="I52" s="188">
        <v>0</v>
      </c>
      <c r="J52" s="189"/>
      <c r="K52" s="188">
        <v>0</v>
      </c>
      <c r="L52" s="172">
        <f>SUM(F52)</f>
        <v>6910.7</v>
      </c>
      <c r="M52" s="172">
        <f>SUM(G52)</f>
        <v>0</v>
      </c>
      <c r="N52" s="172">
        <f>SUM(H52)</f>
        <v>6910.7</v>
      </c>
      <c r="O52" s="178"/>
      <c r="P52" s="92"/>
    </row>
    <row r="53" spans="1:17" ht="31.5" x14ac:dyDescent="0.2">
      <c r="A53" s="42"/>
      <c r="B53" s="168" t="s">
        <v>74</v>
      </c>
      <c r="C53" s="169" t="s">
        <v>73</v>
      </c>
      <c r="D53" s="170" t="s">
        <v>75</v>
      </c>
      <c r="E53" s="171"/>
      <c r="F53" s="172">
        <f>86661+1213.2</f>
        <v>87874.2</v>
      </c>
      <c r="G53" s="172"/>
      <c r="H53" s="172">
        <f>86661+1213.2</f>
        <v>87874.2</v>
      </c>
      <c r="I53" s="188">
        <v>13458.6</v>
      </c>
      <c r="J53" s="189"/>
      <c r="K53" s="188">
        <f>SUM(I53)</f>
        <v>13458.6</v>
      </c>
      <c r="L53" s="172">
        <f>86661+1213.2+I53</f>
        <v>101332.8</v>
      </c>
      <c r="M53" s="172">
        <f>SUM(J53)</f>
        <v>0</v>
      </c>
      <c r="N53" s="172">
        <f>86661+1213.2+K53</f>
        <v>101332.8</v>
      </c>
      <c r="O53" s="178"/>
      <c r="P53" s="92"/>
    </row>
    <row r="54" spans="1:17" ht="18.75" x14ac:dyDescent="0.2">
      <c r="A54" s="42"/>
      <c r="B54" s="168" t="s">
        <v>41</v>
      </c>
      <c r="C54" s="169" t="s">
        <v>73</v>
      </c>
      <c r="D54" s="170" t="s">
        <v>42</v>
      </c>
      <c r="E54" s="171"/>
      <c r="F54" s="172">
        <v>18.600000000000001</v>
      </c>
      <c r="G54" s="172"/>
      <c r="H54" s="172">
        <v>18.600000000000001</v>
      </c>
      <c r="I54" s="188">
        <v>0</v>
      </c>
      <c r="J54" s="189"/>
      <c r="K54" s="188">
        <v>0</v>
      </c>
      <c r="L54" s="172">
        <v>18.600000000000001</v>
      </c>
      <c r="M54" s="172"/>
      <c r="N54" s="172">
        <v>18.600000000000001</v>
      </c>
      <c r="O54" s="178"/>
      <c r="P54" s="92"/>
    </row>
    <row r="55" spans="1:17" ht="42.75" customHeight="1" x14ac:dyDescent="0.2">
      <c r="A55" s="42"/>
      <c r="B55" s="197" t="s">
        <v>76</v>
      </c>
      <c r="C55" s="169" t="s">
        <v>77</v>
      </c>
      <c r="D55" s="170"/>
      <c r="E55" s="171"/>
      <c r="F55" s="172">
        <f>SUM(F56)</f>
        <v>2048.9</v>
      </c>
      <c r="G55" s="172">
        <f>SUM(G56)</f>
        <v>230</v>
      </c>
      <c r="H55" s="172">
        <f>SUM(F55)+G55</f>
        <v>2278.9</v>
      </c>
      <c r="I55" s="188">
        <f>SUM(I56)</f>
        <v>0</v>
      </c>
      <c r="J55" s="189">
        <f>SUM(J56)</f>
        <v>0</v>
      </c>
      <c r="K55" s="188">
        <f>SUM(K56)</f>
        <v>0</v>
      </c>
      <c r="L55" s="172">
        <f>SUM(L56)</f>
        <v>2048.9</v>
      </c>
      <c r="M55" s="172">
        <f>SUM(J55)+G55</f>
        <v>230</v>
      </c>
      <c r="N55" s="172">
        <f>SUM(N56)</f>
        <v>2278.9</v>
      </c>
      <c r="O55" s="178"/>
      <c r="P55" s="92"/>
    </row>
    <row r="56" spans="1:17" ht="31.5" x14ac:dyDescent="0.2">
      <c r="A56" s="42"/>
      <c r="B56" s="168" t="s">
        <v>74</v>
      </c>
      <c r="C56" s="169" t="s">
        <v>77</v>
      </c>
      <c r="D56" s="170" t="s">
        <v>75</v>
      </c>
      <c r="E56" s="171"/>
      <c r="F56" s="172">
        <v>2048.9</v>
      </c>
      <c r="G56" s="172">
        <v>230</v>
      </c>
      <c r="H56" s="172">
        <f>SUM(F56)+G56</f>
        <v>2278.9</v>
      </c>
      <c r="I56" s="188">
        <v>0</v>
      </c>
      <c r="J56" s="189"/>
      <c r="K56" s="188">
        <f>SUM(I56)+J56</f>
        <v>0</v>
      </c>
      <c r="L56" s="172">
        <f>SUM(F56+I56)</f>
        <v>2048.9</v>
      </c>
      <c r="M56" s="172">
        <f>SUM(J56)+G56</f>
        <v>230</v>
      </c>
      <c r="N56" s="172">
        <f>SUM(K56)+H56</f>
        <v>2278.9</v>
      </c>
      <c r="O56" s="178"/>
      <c r="P56" s="92"/>
    </row>
    <row r="57" spans="1:17" ht="36" customHeight="1" x14ac:dyDescent="0.2">
      <c r="A57" s="42"/>
      <c r="B57" s="168" t="s">
        <v>78</v>
      </c>
      <c r="C57" s="169" t="s">
        <v>79</v>
      </c>
      <c r="D57" s="170" t="s">
        <v>26</v>
      </c>
      <c r="E57" s="171"/>
      <c r="F57" s="172">
        <f t="shared" ref="F57:N57" si="6">F58</f>
        <v>1814</v>
      </c>
      <c r="G57" s="172">
        <f t="shared" si="6"/>
        <v>0</v>
      </c>
      <c r="H57" s="172">
        <f t="shared" si="6"/>
        <v>1814</v>
      </c>
      <c r="I57" s="188">
        <f t="shared" si="6"/>
        <v>0</v>
      </c>
      <c r="J57" s="189">
        <f t="shared" si="6"/>
        <v>0</v>
      </c>
      <c r="K57" s="188">
        <f t="shared" si="6"/>
        <v>0</v>
      </c>
      <c r="L57" s="172">
        <f t="shared" si="6"/>
        <v>1814</v>
      </c>
      <c r="M57" s="172">
        <f t="shared" si="6"/>
        <v>0</v>
      </c>
      <c r="N57" s="172">
        <f t="shared" si="6"/>
        <v>1814</v>
      </c>
      <c r="O57" s="178"/>
      <c r="P57" s="92"/>
    </row>
    <row r="58" spans="1:17" ht="31.5" x14ac:dyDescent="0.2">
      <c r="A58" s="42"/>
      <c r="B58" s="168" t="s">
        <v>74</v>
      </c>
      <c r="C58" s="169" t="s">
        <v>79</v>
      </c>
      <c r="D58" s="170" t="s">
        <v>75</v>
      </c>
      <c r="E58" s="171"/>
      <c r="F58" s="172">
        <v>1814</v>
      </c>
      <c r="G58" s="172">
        <v>0</v>
      </c>
      <c r="H58" s="172">
        <f>SUM(F58)+G58</f>
        <v>1814</v>
      </c>
      <c r="I58" s="188">
        <v>0</v>
      </c>
      <c r="J58" s="189"/>
      <c r="K58" s="188">
        <f>SUM(I58:J58)</f>
        <v>0</v>
      </c>
      <c r="L58" s="172">
        <f>SUM(F58)</f>
        <v>1814</v>
      </c>
      <c r="M58" s="172">
        <f>G58+J58</f>
        <v>0</v>
      </c>
      <c r="N58" s="172">
        <f>SUM(L58)+M58</f>
        <v>1814</v>
      </c>
      <c r="O58" s="178"/>
      <c r="P58" s="92"/>
    </row>
    <row r="59" spans="1:17" ht="63" x14ac:dyDescent="0.2">
      <c r="A59" s="42"/>
      <c r="B59" s="168" t="s">
        <v>484</v>
      </c>
      <c r="C59" s="169" t="s">
        <v>483</v>
      </c>
      <c r="D59" s="170" t="s">
        <v>26</v>
      </c>
      <c r="E59" s="171"/>
      <c r="F59" s="172"/>
      <c r="G59" s="172"/>
      <c r="H59" s="172"/>
      <c r="I59" s="188"/>
      <c r="J59" s="189">
        <f>J60</f>
        <v>500</v>
      </c>
      <c r="K59" s="189">
        <f>K60</f>
        <v>500</v>
      </c>
      <c r="L59" s="172">
        <f>F59+I59</f>
        <v>0</v>
      </c>
      <c r="M59" s="172">
        <f>G59+J59</f>
        <v>500</v>
      </c>
      <c r="N59" s="172">
        <f>N60</f>
        <v>500</v>
      </c>
      <c r="O59" s="178"/>
      <c r="P59" s="92"/>
    </row>
    <row r="60" spans="1:17" ht="31.5" x14ac:dyDescent="0.2">
      <c r="A60" s="42"/>
      <c r="B60" s="168" t="s">
        <v>74</v>
      </c>
      <c r="C60" s="169" t="s">
        <v>483</v>
      </c>
      <c r="D60" s="170" t="s">
        <v>75</v>
      </c>
      <c r="E60" s="171"/>
      <c r="F60" s="172"/>
      <c r="G60" s="172"/>
      <c r="H60" s="172"/>
      <c r="I60" s="188"/>
      <c r="J60" s="189">
        <v>500</v>
      </c>
      <c r="K60" s="188">
        <f>SUM(I60:J60)</f>
        <v>500</v>
      </c>
      <c r="L60" s="172">
        <f>F60+I60</f>
        <v>0</v>
      </c>
      <c r="M60" s="172">
        <f>G60+J60</f>
        <v>500</v>
      </c>
      <c r="N60" s="172">
        <f>SUM(L60:M60)</f>
        <v>500</v>
      </c>
      <c r="O60" s="178"/>
      <c r="P60" s="92"/>
    </row>
    <row r="61" spans="1:17" ht="33" customHeight="1" x14ac:dyDescent="0.2">
      <c r="A61" s="42"/>
      <c r="B61" s="168" t="s">
        <v>80</v>
      </c>
      <c r="C61" s="169" t="s">
        <v>81</v>
      </c>
      <c r="D61" s="170" t="s">
        <v>26</v>
      </c>
      <c r="E61" s="171"/>
      <c r="F61" s="172">
        <f>F62</f>
        <v>626.20000000000005</v>
      </c>
      <c r="G61" s="172">
        <f>G62</f>
        <v>0</v>
      </c>
      <c r="H61" s="172">
        <f>H62</f>
        <v>626.20000000000005</v>
      </c>
      <c r="I61" s="188">
        <f>I62</f>
        <v>3846.2</v>
      </c>
      <c r="J61" s="189"/>
      <c r="K61" s="188">
        <f>K62</f>
        <v>3846.2</v>
      </c>
      <c r="L61" s="172">
        <f>L62</f>
        <v>4472.3999999999996</v>
      </c>
      <c r="M61" s="172">
        <f>M62</f>
        <v>0</v>
      </c>
      <c r="N61" s="172">
        <f>N62</f>
        <v>4472.3999999999996</v>
      </c>
      <c r="O61" s="178"/>
      <c r="P61" s="92"/>
    </row>
    <row r="62" spans="1:17" ht="31.5" x14ac:dyDescent="0.2">
      <c r="A62" s="42"/>
      <c r="B62" s="168" t="s">
        <v>74</v>
      </c>
      <c r="C62" s="169" t="s">
        <v>81</v>
      </c>
      <c r="D62" s="170" t="s">
        <v>75</v>
      </c>
      <c r="E62" s="171"/>
      <c r="F62" s="172">
        <v>626.20000000000005</v>
      </c>
      <c r="G62" s="172"/>
      <c r="H62" s="172">
        <v>626.20000000000005</v>
      </c>
      <c r="I62" s="188">
        <v>3846.2</v>
      </c>
      <c r="J62" s="189"/>
      <c r="K62" s="188">
        <v>3846.2</v>
      </c>
      <c r="L62" s="172">
        <f>626.2+I62</f>
        <v>4472.3999999999996</v>
      </c>
      <c r="M62" s="172"/>
      <c r="N62" s="172">
        <f>626.2+K62</f>
        <v>4472.3999999999996</v>
      </c>
      <c r="O62" s="178"/>
      <c r="P62" s="92"/>
    </row>
    <row r="63" spans="1:17" ht="18.75" x14ac:dyDescent="0.2">
      <c r="A63" s="42"/>
      <c r="B63" s="168" t="s">
        <v>82</v>
      </c>
      <c r="C63" s="169" t="s">
        <v>83</v>
      </c>
      <c r="D63" s="170"/>
      <c r="E63" s="171"/>
      <c r="F63" s="172">
        <v>254.4</v>
      </c>
      <c r="G63" s="172"/>
      <c r="H63" s="172">
        <v>254.4</v>
      </c>
      <c r="I63" s="188">
        <v>1562.5</v>
      </c>
      <c r="J63" s="189"/>
      <c r="K63" s="188">
        <v>1562.5</v>
      </c>
      <c r="L63" s="172">
        <f>254.4+I63</f>
        <v>1816.9</v>
      </c>
      <c r="M63" s="172"/>
      <c r="N63" s="172">
        <f>254.4+K63</f>
        <v>1816.9</v>
      </c>
      <c r="O63" s="178"/>
      <c r="P63" s="92"/>
    </row>
    <row r="64" spans="1:17" ht="21" customHeight="1" x14ac:dyDescent="0.2">
      <c r="A64" s="42"/>
      <c r="B64" s="168" t="s">
        <v>84</v>
      </c>
      <c r="C64" s="169" t="s">
        <v>85</v>
      </c>
      <c r="D64" s="170"/>
      <c r="E64" s="171"/>
      <c r="F64" s="172">
        <v>254.4</v>
      </c>
      <c r="G64" s="172"/>
      <c r="H64" s="172">
        <v>254.4</v>
      </c>
      <c r="I64" s="188">
        <v>1562.5</v>
      </c>
      <c r="J64" s="189"/>
      <c r="K64" s="188">
        <v>1562.5</v>
      </c>
      <c r="L64" s="172">
        <f>254.4+I64</f>
        <v>1816.9</v>
      </c>
      <c r="M64" s="172"/>
      <c r="N64" s="172">
        <f>254.4+K64</f>
        <v>1816.9</v>
      </c>
      <c r="O64" s="178"/>
      <c r="P64" s="92"/>
    </row>
    <row r="65" spans="1:16" ht="31.5" x14ac:dyDescent="0.2">
      <c r="A65" s="42"/>
      <c r="B65" s="168" t="s">
        <v>74</v>
      </c>
      <c r="C65" s="169" t="s">
        <v>83</v>
      </c>
      <c r="D65" s="170" t="s">
        <v>75</v>
      </c>
      <c r="E65" s="171"/>
      <c r="F65" s="172">
        <v>254.4</v>
      </c>
      <c r="G65" s="172"/>
      <c r="H65" s="172">
        <v>254.4</v>
      </c>
      <c r="I65" s="188">
        <v>1562.5</v>
      </c>
      <c r="J65" s="189"/>
      <c r="K65" s="188">
        <v>1562.5</v>
      </c>
      <c r="L65" s="172">
        <f>254.4+I65</f>
        <v>1816.9</v>
      </c>
      <c r="M65" s="172"/>
      <c r="N65" s="172">
        <f>254.4+K65</f>
        <v>1816.9</v>
      </c>
      <c r="O65" s="178"/>
      <c r="P65" s="92"/>
    </row>
    <row r="66" spans="1:16" ht="36" customHeight="1" x14ac:dyDescent="0.2">
      <c r="A66" s="42"/>
      <c r="B66" s="168" t="s">
        <v>86</v>
      </c>
      <c r="C66" s="169" t="s">
        <v>87</v>
      </c>
      <c r="D66" s="170" t="s">
        <v>26</v>
      </c>
      <c r="E66" s="171"/>
      <c r="F66" s="172">
        <f>F67</f>
        <v>10716.5</v>
      </c>
      <c r="G66" s="172">
        <f>G67</f>
        <v>0</v>
      </c>
      <c r="H66" s="172">
        <f>H67</f>
        <v>10716.5</v>
      </c>
      <c r="I66" s="188">
        <f>I67</f>
        <v>0</v>
      </c>
      <c r="J66" s="189"/>
      <c r="K66" s="188">
        <f>K67</f>
        <v>0</v>
      </c>
      <c r="L66" s="172">
        <f>L67</f>
        <v>10716.5</v>
      </c>
      <c r="M66" s="172">
        <f>M67</f>
        <v>0</v>
      </c>
      <c r="N66" s="172">
        <f>N67</f>
        <v>10716.5</v>
      </c>
      <c r="O66" s="178"/>
      <c r="P66" s="92"/>
    </row>
    <row r="67" spans="1:16" ht="31.5" x14ac:dyDescent="0.2">
      <c r="A67" s="42"/>
      <c r="B67" s="168" t="s">
        <v>39</v>
      </c>
      <c r="C67" s="169" t="s">
        <v>88</v>
      </c>
      <c r="D67" s="170" t="s">
        <v>26</v>
      </c>
      <c r="E67" s="171"/>
      <c r="F67" s="172">
        <f>F68+F69+F70</f>
        <v>10716.5</v>
      </c>
      <c r="G67" s="172">
        <f>G68+G69+G70</f>
        <v>0</v>
      </c>
      <c r="H67" s="172">
        <f>H68+H69+H70</f>
        <v>10716.5</v>
      </c>
      <c r="I67" s="188">
        <f>I68+I69+I70</f>
        <v>0</v>
      </c>
      <c r="J67" s="189"/>
      <c r="K67" s="188">
        <f>K68+K69+K70</f>
        <v>0</v>
      </c>
      <c r="L67" s="172">
        <f>L68+L69+L70</f>
        <v>10716.5</v>
      </c>
      <c r="M67" s="172">
        <f>M68+M69+M70</f>
        <v>0</v>
      </c>
      <c r="N67" s="172">
        <f>N68+N69+N70</f>
        <v>10716.5</v>
      </c>
      <c r="O67" s="178"/>
      <c r="P67" s="92"/>
    </row>
    <row r="68" spans="1:16" ht="70.150000000000006" customHeight="1" x14ac:dyDescent="0.2">
      <c r="A68" s="42"/>
      <c r="B68" s="168" t="s">
        <v>31</v>
      </c>
      <c r="C68" s="169" t="s">
        <v>88</v>
      </c>
      <c r="D68" s="170" t="s">
        <v>32</v>
      </c>
      <c r="E68" s="171"/>
      <c r="F68" s="172">
        <v>9288.5</v>
      </c>
      <c r="G68" s="172"/>
      <c r="H68" s="172">
        <f>SUM(F68)+G68</f>
        <v>9288.5</v>
      </c>
      <c r="I68" s="188">
        <v>0</v>
      </c>
      <c r="J68" s="189"/>
      <c r="K68" s="188">
        <v>0</v>
      </c>
      <c r="L68" s="172">
        <f t="shared" ref="L68:N69" si="7">SUM(F68)</f>
        <v>9288.5</v>
      </c>
      <c r="M68" s="172">
        <f t="shared" si="7"/>
        <v>0</v>
      </c>
      <c r="N68" s="172">
        <f t="shared" si="7"/>
        <v>9288.5</v>
      </c>
      <c r="O68" s="178"/>
      <c r="P68" s="92"/>
    </row>
    <row r="69" spans="1:16" ht="31.5" x14ac:dyDescent="0.2">
      <c r="A69" s="42"/>
      <c r="B69" s="168" t="s">
        <v>35</v>
      </c>
      <c r="C69" s="169" t="s">
        <v>88</v>
      </c>
      <c r="D69" s="170" t="s">
        <v>36</v>
      </c>
      <c r="E69" s="171"/>
      <c r="F69" s="172">
        <v>1426.9</v>
      </c>
      <c r="G69" s="172"/>
      <c r="H69" s="172">
        <f>SUM(F69)</f>
        <v>1426.9</v>
      </c>
      <c r="I69" s="188">
        <v>0</v>
      </c>
      <c r="J69" s="189"/>
      <c r="K69" s="188">
        <v>0</v>
      </c>
      <c r="L69" s="172">
        <f t="shared" si="7"/>
        <v>1426.9</v>
      </c>
      <c r="M69" s="172">
        <f t="shared" si="7"/>
        <v>0</v>
      </c>
      <c r="N69" s="172">
        <f t="shared" si="7"/>
        <v>1426.9</v>
      </c>
      <c r="O69" s="178"/>
      <c r="P69" s="92"/>
    </row>
    <row r="70" spans="1:16" ht="18.75" x14ac:dyDescent="0.2">
      <c r="A70" s="42"/>
      <c r="B70" s="168" t="s">
        <v>41</v>
      </c>
      <c r="C70" s="169" t="s">
        <v>88</v>
      </c>
      <c r="D70" s="170" t="s">
        <v>42</v>
      </c>
      <c r="E70" s="171"/>
      <c r="F70" s="172">
        <v>1.1000000000000001</v>
      </c>
      <c r="G70" s="172"/>
      <c r="H70" s="172">
        <v>1.1000000000000001</v>
      </c>
      <c r="I70" s="188">
        <v>0</v>
      </c>
      <c r="J70" s="189"/>
      <c r="K70" s="188">
        <v>0</v>
      </c>
      <c r="L70" s="172">
        <v>1.1000000000000001</v>
      </c>
      <c r="M70" s="172"/>
      <c r="N70" s="172">
        <v>1.1000000000000001</v>
      </c>
      <c r="O70" s="178"/>
      <c r="P70" s="92"/>
    </row>
    <row r="71" spans="1:16" ht="31.5" x14ac:dyDescent="0.2">
      <c r="A71" s="49"/>
      <c r="B71" s="190" t="s">
        <v>89</v>
      </c>
      <c r="C71" s="191" t="s">
        <v>90</v>
      </c>
      <c r="D71" s="192" t="s">
        <v>26</v>
      </c>
      <c r="E71" s="193"/>
      <c r="F71" s="194">
        <f t="shared" ref="F71:N72" si="8">F72</f>
        <v>2090.6</v>
      </c>
      <c r="G71" s="194">
        <f t="shared" si="8"/>
        <v>0</v>
      </c>
      <c r="H71" s="194">
        <f t="shared" si="8"/>
        <v>2090.6</v>
      </c>
      <c r="I71" s="195">
        <f t="shared" si="8"/>
        <v>0</v>
      </c>
      <c r="J71" s="194">
        <f t="shared" si="8"/>
        <v>0</v>
      </c>
      <c r="K71" s="195">
        <f t="shared" si="8"/>
        <v>0</v>
      </c>
      <c r="L71" s="194">
        <f t="shared" si="8"/>
        <v>2090.6</v>
      </c>
      <c r="M71" s="194">
        <f t="shared" si="8"/>
        <v>0</v>
      </c>
      <c r="N71" s="194">
        <f t="shared" si="8"/>
        <v>2090.6</v>
      </c>
      <c r="O71" s="178"/>
      <c r="P71" s="92"/>
    </row>
    <row r="72" spans="1:16" ht="31.5" x14ac:dyDescent="0.2">
      <c r="A72" s="42"/>
      <c r="B72" s="168" t="s">
        <v>91</v>
      </c>
      <c r="C72" s="169" t="s">
        <v>92</v>
      </c>
      <c r="D72" s="170" t="s">
        <v>26</v>
      </c>
      <c r="E72" s="171"/>
      <c r="F72" s="172">
        <f t="shared" si="8"/>
        <v>2090.6</v>
      </c>
      <c r="G72" s="172">
        <f t="shared" si="8"/>
        <v>0</v>
      </c>
      <c r="H72" s="172">
        <f t="shared" si="8"/>
        <v>2090.6</v>
      </c>
      <c r="I72" s="188">
        <f t="shared" si="8"/>
        <v>0</v>
      </c>
      <c r="J72" s="189"/>
      <c r="K72" s="188">
        <f t="shared" si="8"/>
        <v>0</v>
      </c>
      <c r="L72" s="172">
        <f t="shared" si="8"/>
        <v>2090.6</v>
      </c>
      <c r="M72" s="172">
        <f t="shared" si="8"/>
        <v>0</v>
      </c>
      <c r="N72" s="172">
        <f t="shared" si="8"/>
        <v>2090.6</v>
      </c>
      <c r="O72" s="178"/>
      <c r="P72" s="92"/>
    </row>
    <row r="73" spans="1:16" ht="31.5" x14ac:dyDescent="0.2">
      <c r="A73" s="42"/>
      <c r="B73" s="168" t="s">
        <v>93</v>
      </c>
      <c r="C73" s="169" t="s">
        <v>94</v>
      </c>
      <c r="D73" s="170" t="s">
        <v>26</v>
      </c>
      <c r="E73" s="171"/>
      <c r="F73" s="172">
        <f>F74+F75+F76</f>
        <v>2090.6</v>
      </c>
      <c r="G73" s="172">
        <f>G74+G75+G76</f>
        <v>0</v>
      </c>
      <c r="H73" s="172">
        <f>H74+H75+H76</f>
        <v>2090.6</v>
      </c>
      <c r="I73" s="188">
        <f>I74+I75</f>
        <v>0</v>
      </c>
      <c r="J73" s="189"/>
      <c r="K73" s="188">
        <f>K74+K75</f>
        <v>0</v>
      </c>
      <c r="L73" s="172">
        <f>L74+L75+L76</f>
        <v>2090.6</v>
      </c>
      <c r="M73" s="172">
        <f>M74+M75+M76</f>
        <v>0</v>
      </c>
      <c r="N73" s="172">
        <f>N74+N75+N76</f>
        <v>2090.6</v>
      </c>
      <c r="O73" s="178"/>
      <c r="P73" s="92"/>
    </row>
    <row r="74" spans="1:16" ht="66" customHeight="1" x14ac:dyDescent="0.2">
      <c r="A74" s="42"/>
      <c r="B74" s="168" t="s">
        <v>31</v>
      </c>
      <c r="C74" s="169" t="s">
        <v>94</v>
      </c>
      <c r="D74" s="170" t="s">
        <v>32</v>
      </c>
      <c r="E74" s="171"/>
      <c r="F74" s="172">
        <v>2080.6</v>
      </c>
      <c r="G74" s="172"/>
      <c r="H74" s="172">
        <f>SUM(F74)</f>
        <v>2080.6</v>
      </c>
      <c r="I74" s="188">
        <v>0</v>
      </c>
      <c r="J74" s="189"/>
      <c r="K74" s="188">
        <v>0</v>
      </c>
      <c r="L74" s="172">
        <f t="shared" ref="L74:N76" si="9">SUM(F74)</f>
        <v>2080.6</v>
      </c>
      <c r="M74" s="172">
        <f t="shared" si="9"/>
        <v>0</v>
      </c>
      <c r="N74" s="172">
        <f t="shared" si="9"/>
        <v>2080.6</v>
      </c>
      <c r="O74" s="178"/>
      <c r="P74" s="92"/>
    </row>
    <row r="75" spans="1:16" ht="31.5" x14ac:dyDescent="0.2">
      <c r="A75" s="42"/>
      <c r="B75" s="168" t="s">
        <v>35</v>
      </c>
      <c r="C75" s="169" t="s">
        <v>94</v>
      </c>
      <c r="D75" s="170" t="s">
        <v>36</v>
      </c>
      <c r="E75" s="171"/>
      <c r="F75" s="172">
        <v>9.5</v>
      </c>
      <c r="G75" s="172"/>
      <c r="H75" s="172">
        <f>SUM(F75)</f>
        <v>9.5</v>
      </c>
      <c r="I75" s="188">
        <v>0</v>
      </c>
      <c r="J75" s="189"/>
      <c r="K75" s="188">
        <v>0</v>
      </c>
      <c r="L75" s="172">
        <f t="shared" si="9"/>
        <v>9.5</v>
      </c>
      <c r="M75" s="172">
        <f t="shared" si="9"/>
        <v>0</v>
      </c>
      <c r="N75" s="172">
        <f t="shared" si="9"/>
        <v>9.5</v>
      </c>
      <c r="O75" s="178"/>
      <c r="P75" s="92"/>
    </row>
    <row r="76" spans="1:16" ht="18.75" x14ac:dyDescent="0.2">
      <c r="A76" s="42"/>
      <c r="B76" s="168" t="s">
        <v>41</v>
      </c>
      <c r="C76" s="169" t="s">
        <v>94</v>
      </c>
      <c r="D76" s="170" t="s">
        <v>42</v>
      </c>
      <c r="E76" s="171"/>
      <c r="F76" s="172">
        <v>0.5</v>
      </c>
      <c r="G76" s="172"/>
      <c r="H76" s="172">
        <f>SUM(F76)</f>
        <v>0.5</v>
      </c>
      <c r="I76" s="188"/>
      <c r="J76" s="189"/>
      <c r="K76" s="188"/>
      <c r="L76" s="172">
        <f t="shared" si="9"/>
        <v>0.5</v>
      </c>
      <c r="M76" s="172">
        <f t="shared" si="9"/>
        <v>0</v>
      </c>
      <c r="N76" s="172">
        <f t="shared" si="9"/>
        <v>0.5</v>
      </c>
      <c r="O76" s="178"/>
      <c r="P76" s="92"/>
    </row>
    <row r="77" spans="1:16" ht="31.5" x14ac:dyDescent="0.2">
      <c r="A77" s="19" t="s">
        <v>95</v>
      </c>
      <c r="B77" s="182" t="s">
        <v>96</v>
      </c>
      <c r="C77" s="183" t="s">
        <v>97</v>
      </c>
      <c r="D77" s="184" t="s">
        <v>26</v>
      </c>
      <c r="E77" s="185"/>
      <c r="F77" s="186">
        <f t="shared" ref="F77:N77" si="10">F78+F85</f>
        <v>8666</v>
      </c>
      <c r="G77" s="186">
        <f t="shared" si="10"/>
        <v>93.6</v>
      </c>
      <c r="H77" s="186">
        <f t="shared" si="10"/>
        <v>8759.6</v>
      </c>
      <c r="I77" s="187">
        <f t="shared" si="10"/>
        <v>0</v>
      </c>
      <c r="J77" s="186">
        <f t="shared" si="10"/>
        <v>0</v>
      </c>
      <c r="K77" s="187">
        <f t="shared" si="10"/>
        <v>0</v>
      </c>
      <c r="L77" s="186">
        <f t="shared" si="10"/>
        <v>8666</v>
      </c>
      <c r="M77" s="186">
        <f t="shared" si="10"/>
        <v>93.6</v>
      </c>
      <c r="N77" s="186">
        <f t="shared" si="10"/>
        <v>8759.6</v>
      </c>
      <c r="O77" s="178"/>
      <c r="P77" s="92"/>
    </row>
    <row r="78" spans="1:16" ht="31.5" x14ac:dyDescent="0.2">
      <c r="A78" s="49"/>
      <c r="B78" s="190" t="s">
        <v>98</v>
      </c>
      <c r="C78" s="191" t="s">
        <v>99</v>
      </c>
      <c r="D78" s="192" t="s">
        <v>26</v>
      </c>
      <c r="E78" s="193"/>
      <c r="F78" s="194">
        <f t="shared" ref="F78:N78" si="11">F79+F82</f>
        <v>8386</v>
      </c>
      <c r="G78" s="194">
        <f t="shared" si="11"/>
        <v>93.6</v>
      </c>
      <c r="H78" s="194">
        <f t="shared" si="11"/>
        <v>8479.6</v>
      </c>
      <c r="I78" s="195">
        <f t="shared" si="11"/>
        <v>0</v>
      </c>
      <c r="J78" s="194">
        <f t="shared" si="11"/>
        <v>0</v>
      </c>
      <c r="K78" s="195">
        <f t="shared" si="11"/>
        <v>0</v>
      </c>
      <c r="L78" s="194">
        <f t="shared" si="11"/>
        <v>8386</v>
      </c>
      <c r="M78" s="194">
        <f t="shared" si="11"/>
        <v>93.6</v>
      </c>
      <c r="N78" s="194">
        <f t="shared" si="11"/>
        <v>8479.6</v>
      </c>
      <c r="O78" s="178"/>
      <c r="P78" s="92"/>
    </row>
    <row r="79" spans="1:16" ht="31.5" x14ac:dyDescent="0.2">
      <c r="A79" s="42"/>
      <c r="B79" s="168" t="s">
        <v>100</v>
      </c>
      <c r="C79" s="169" t="s">
        <v>101</v>
      </c>
      <c r="D79" s="170" t="s">
        <v>26</v>
      </c>
      <c r="E79" s="171"/>
      <c r="F79" s="172">
        <f t="shared" ref="F79:N80" si="12">F80</f>
        <v>4346</v>
      </c>
      <c r="G79" s="172">
        <f t="shared" si="12"/>
        <v>0</v>
      </c>
      <c r="H79" s="172">
        <f t="shared" si="12"/>
        <v>4346</v>
      </c>
      <c r="I79" s="188">
        <f t="shared" si="12"/>
        <v>0</v>
      </c>
      <c r="J79" s="189"/>
      <c r="K79" s="188">
        <f t="shared" si="12"/>
        <v>0</v>
      </c>
      <c r="L79" s="172">
        <f t="shared" si="12"/>
        <v>4346</v>
      </c>
      <c r="M79" s="172">
        <f t="shared" si="12"/>
        <v>0</v>
      </c>
      <c r="N79" s="172">
        <f t="shared" si="12"/>
        <v>4346</v>
      </c>
      <c r="O79" s="178"/>
      <c r="P79" s="92"/>
    </row>
    <row r="80" spans="1:16" ht="18.75" x14ac:dyDescent="0.2">
      <c r="A80" s="42"/>
      <c r="B80" s="168" t="s">
        <v>102</v>
      </c>
      <c r="C80" s="169" t="s">
        <v>103</v>
      </c>
      <c r="D80" s="170" t="s">
        <v>26</v>
      </c>
      <c r="E80" s="171"/>
      <c r="F80" s="172">
        <f t="shared" si="12"/>
        <v>4346</v>
      </c>
      <c r="G80" s="172">
        <f t="shared" si="12"/>
        <v>0</v>
      </c>
      <c r="H80" s="172">
        <f t="shared" si="12"/>
        <v>4346</v>
      </c>
      <c r="I80" s="188">
        <f t="shared" si="12"/>
        <v>0</v>
      </c>
      <c r="J80" s="189"/>
      <c r="K80" s="188">
        <f t="shared" si="12"/>
        <v>0</v>
      </c>
      <c r="L80" s="172">
        <f t="shared" si="12"/>
        <v>4346</v>
      </c>
      <c r="M80" s="172">
        <f t="shared" si="12"/>
        <v>0</v>
      </c>
      <c r="N80" s="172">
        <f t="shared" si="12"/>
        <v>4346</v>
      </c>
      <c r="O80" s="178"/>
      <c r="P80" s="92"/>
    </row>
    <row r="81" spans="1:17" ht="18.75" x14ac:dyDescent="0.2">
      <c r="A81" s="42"/>
      <c r="B81" s="168" t="s">
        <v>54</v>
      </c>
      <c r="C81" s="169" t="s">
        <v>103</v>
      </c>
      <c r="D81" s="170" t="s">
        <v>55</v>
      </c>
      <c r="E81" s="171"/>
      <c r="F81" s="172">
        <v>4346</v>
      </c>
      <c r="G81" s="172"/>
      <c r="H81" s="172">
        <f>SUM(F81)</f>
        <v>4346</v>
      </c>
      <c r="I81" s="188">
        <v>0</v>
      </c>
      <c r="J81" s="189"/>
      <c r="K81" s="188">
        <v>0</v>
      </c>
      <c r="L81" s="172">
        <f>SUM(F81)</f>
        <v>4346</v>
      </c>
      <c r="M81" s="172">
        <f>SUM(G81)</f>
        <v>0</v>
      </c>
      <c r="N81" s="172">
        <f>SUM(H81)</f>
        <v>4346</v>
      </c>
      <c r="O81" s="178"/>
      <c r="P81" s="92"/>
    </row>
    <row r="82" spans="1:17" ht="36" customHeight="1" x14ac:dyDescent="0.2">
      <c r="A82" s="42"/>
      <c r="B82" s="168" t="s">
        <v>104</v>
      </c>
      <c r="C82" s="169" t="s">
        <v>105</v>
      </c>
      <c r="D82" s="170" t="s">
        <v>26</v>
      </c>
      <c r="E82" s="171"/>
      <c r="F82" s="172">
        <f t="shared" ref="F82:N83" si="13">F83</f>
        <v>4040</v>
      </c>
      <c r="G82" s="172">
        <f t="shared" si="13"/>
        <v>93.6</v>
      </c>
      <c r="H82" s="172">
        <f t="shared" si="13"/>
        <v>4133.6000000000004</v>
      </c>
      <c r="I82" s="188">
        <f t="shared" si="13"/>
        <v>0</v>
      </c>
      <c r="J82" s="189"/>
      <c r="K82" s="188">
        <f t="shared" si="13"/>
        <v>0</v>
      </c>
      <c r="L82" s="172">
        <f t="shared" si="13"/>
        <v>4040</v>
      </c>
      <c r="M82" s="172">
        <f t="shared" si="13"/>
        <v>93.6</v>
      </c>
      <c r="N82" s="172">
        <f t="shared" si="13"/>
        <v>4133.6000000000004</v>
      </c>
      <c r="O82" s="178"/>
      <c r="P82" s="92"/>
    </row>
    <row r="83" spans="1:17" ht="31.5" x14ac:dyDescent="0.2">
      <c r="A83" s="42"/>
      <c r="B83" s="168" t="s">
        <v>106</v>
      </c>
      <c r="C83" s="169" t="s">
        <v>107</v>
      </c>
      <c r="D83" s="170" t="s">
        <v>26</v>
      </c>
      <c r="E83" s="171"/>
      <c r="F83" s="172">
        <f t="shared" si="13"/>
        <v>4040</v>
      </c>
      <c r="G83" s="172">
        <f t="shared" si="13"/>
        <v>93.6</v>
      </c>
      <c r="H83" s="172">
        <f t="shared" si="13"/>
        <v>4133.6000000000004</v>
      </c>
      <c r="I83" s="188">
        <f t="shared" si="13"/>
        <v>0</v>
      </c>
      <c r="J83" s="189"/>
      <c r="K83" s="188">
        <f t="shared" si="13"/>
        <v>0</v>
      </c>
      <c r="L83" s="172">
        <f t="shared" si="13"/>
        <v>4040</v>
      </c>
      <c r="M83" s="172">
        <f t="shared" si="13"/>
        <v>93.6</v>
      </c>
      <c r="N83" s="172">
        <f t="shared" si="13"/>
        <v>4133.6000000000004</v>
      </c>
      <c r="O83" s="178"/>
      <c r="P83" s="92"/>
    </row>
    <row r="84" spans="1:17" ht="18.75" x14ac:dyDescent="0.2">
      <c r="A84" s="42"/>
      <c r="B84" s="168" t="s">
        <v>54</v>
      </c>
      <c r="C84" s="169" t="s">
        <v>107</v>
      </c>
      <c r="D84" s="170" t="s">
        <v>55</v>
      </c>
      <c r="E84" s="171"/>
      <c r="F84" s="172">
        <v>4040</v>
      </c>
      <c r="G84" s="172">
        <v>93.6</v>
      </c>
      <c r="H84" s="172">
        <f>F84+G84</f>
        <v>4133.6000000000004</v>
      </c>
      <c r="I84" s="188">
        <v>0</v>
      </c>
      <c r="J84" s="189"/>
      <c r="K84" s="188">
        <v>0</v>
      </c>
      <c r="L84" s="172">
        <v>4040</v>
      </c>
      <c r="M84" s="172">
        <f>G84+J84</f>
        <v>93.6</v>
      </c>
      <c r="N84" s="172">
        <f>SUM(L84:M84)</f>
        <v>4133.6000000000004</v>
      </c>
      <c r="O84" s="178"/>
      <c r="P84" s="92"/>
    </row>
    <row r="85" spans="1:17" ht="37.9" customHeight="1" x14ac:dyDescent="0.2">
      <c r="A85" s="49"/>
      <c r="B85" s="190" t="s">
        <v>108</v>
      </c>
      <c r="C85" s="191" t="s">
        <v>109</v>
      </c>
      <c r="D85" s="192" t="s">
        <v>26</v>
      </c>
      <c r="E85" s="193"/>
      <c r="F85" s="194">
        <f t="shared" ref="F85:N87" si="14">F86</f>
        <v>280</v>
      </c>
      <c r="G85" s="194">
        <f t="shared" si="14"/>
        <v>0</v>
      </c>
      <c r="H85" s="194">
        <f t="shared" si="14"/>
        <v>280</v>
      </c>
      <c r="I85" s="195">
        <f t="shared" si="14"/>
        <v>0</v>
      </c>
      <c r="J85" s="194">
        <f>J86</f>
        <v>0</v>
      </c>
      <c r="K85" s="195">
        <f t="shared" si="14"/>
        <v>0</v>
      </c>
      <c r="L85" s="194">
        <f t="shared" si="14"/>
        <v>280</v>
      </c>
      <c r="M85" s="194">
        <f t="shared" si="14"/>
        <v>0</v>
      </c>
      <c r="N85" s="194">
        <f t="shared" si="14"/>
        <v>280</v>
      </c>
      <c r="O85" s="178"/>
      <c r="P85" s="92"/>
    </row>
    <row r="86" spans="1:17" ht="64.150000000000006" customHeight="1" x14ac:dyDescent="0.2">
      <c r="A86" s="42"/>
      <c r="B86" s="168" t="s">
        <v>110</v>
      </c>
      <c r="C86" s="169" t="s">
        <v>111</v>
      </c>
      <c r="D86" s="170" t="s">
        <v>26</v>
      </c>
      <c r="E86" s="171"/>
      <c r="F86" s="172">
        <f t="shared" si="14"/>
        <v>280</v>
      </c>
      <c r="G86" s="172">
        <f t="shared" si="14"/>
        <v>0</v>
      </c>
      <c r="H86" s="172">
        <f t="shared" si="14"/>
        <v>280</v>
      </c>
      <c r="I86" s="188">
        <f t="shared" si="14"/>
        <v>0</v>
      </c>
      <c r="J86" s="189"/>
      <c r="K86" s="188">
        <f t="shared" si="14"/>
        <v>0</v>
      </c>
      <c r="L86" s="172">
        <f t="shared" si="14"/>
        <v>280</v>
      </c>
      <c r="M86" s="172">
        <f t="shared" si="14"/>
        <v>0</v>
      </c>
      <c r="N86" s="172">
        <f t="shared" si="14"/>
        <v>280</v>
      </c>
      <c r="O86" s="178"/>
      <c r="P86" s="92"/>
    </row>
    <row r="87" spans="1:17" ht="36.6" customHeight="1" x14ac:dyDescent="0.2">
      <c r="A87" s="42"/>
      <c r="B87" s="168" t="s">
        <v>112</v>
      </c>
      <c r="C87" s="169" t="s">
        <v>113</v>
      </c>
      <c r="D87" s="170" t="s">
        <v>26</v>
      </c>
      <c r="E87" s="171"/>
      <c r="F87" s="172">
        <f t="shared" si="14"/>
        <v>280</v>
      </c>
      <c r="G87" s="172">
        <f t="shared" si="14"/>
        <v>0</v>
      </c>
      <c r="H87" s="172">
        <f t="shared" si="14"/>
        <v>280</v>
      </c>
      <c r="I87" s="188">
        <f t="shared" si="14"/>
        <v>0</v>
      </c>
      <c r="J87" s="189"/>
      <c r="K87" s="188">
        <f t="shared" si="14"/>
        <v>0</v>
      </c>
      <c r="L87" s="172">
        <f t="shared" si="14"/>
        <v>280</v>
      </c>
      <c r="M87" s="172">
        <f t="shared" si="14"/>
        <v>0</v>
      </c>
      <c r="N87" s="172">
        <f t="shared" si="14"/>
        <v>280</v>
      </c>
      <c r="O87" s="178"/>
      <c r="P87" s="92"/>
    </row>
    <row r="88" spans="1:17" ht="31.5" x14ac:dyDescent="0.2">
      <c r="A88" s="42"/>
      <c r="B88" s="168" t="s">
        <v>74</v>
      </c>
      <c r="C88" s="169" t="s">
        <v>113</v>
      </c>
      <c r="D88" s="170" t="s">
        <v>75</v>
      </c>
      <c r="E88" s="171"/>
      <c r="F88" s="172">
        <v>280</v>
      </c>
      <c r="G88" s="172"/>
      <c r="H88" s="172">
        <v>280</v>
      </c>
      <c r="I88" s="188">
        <v>0</v>
      </c>
      <c r="J88" s="189"/>
      <c r="K88" s="188">
        <v>0</v>
      </c>
      <c r="L88" s="172">
        <v>280</v>
      </c>
      <c r="M88" s="172"/>
      <c r="N88" s="172">
        <v>280</v>
      </c>
      <c r="O88" s="178"/>
      <c r="P88" s="92"/>
    </row>
    <row r="89" spans="1:17" ht="47.25" x14ac:dyDescent="0.2">
      <c r="A89" s="19" t="s">
        <v>114</v>
      </c>
      <c r="B89" s="182" t="s">
        <v>115</v>
      </c>
      <c r="C89" s="183" t="s">
        <v>116</v>
      </c>
      <c r="D89" s="184" t="s">
        <v>26</v>
      </c>
      <c r="E89" s="185"/>
      <c r="F89" s="186">
        <f t="shared" ref="F89:M89" si="15">F90+F100+F112</f>
        <v>37048.199999999997</v>
      </c>
      <c r="G89" s="186">
        <f t="shared" si="15"/>
        <v>-1218.7</v>
      </c>
      <c r="H89" s="186">
        <f t="shared" si="15"/>
        <v>35829.5</v>
      </c>
      <c r="I89" s="187">
        <f t="shared" si="15"/>
        <v>57252.9</v>
      </c>
      <c r="J89" s="186">
        <f t="shared" si="15"/>
        <v>0</v>
      </c>
      <c r="K89" s="187">
        <f t="shared" si="15"/>
        <v>57252.9</v>
      </c>
      <c r="L89" s="186">
        <f>L90+L100+L112</f>
        <v>94301.1</v>
      </c>
      <c r="M89" s="186">
        <f t="shared" si="15"/>
        <v>-1218.7</v>
      </c>
      <c r="N89" s="186">
        <f>SUM(N90+N100+N112)</f>
        <v>93082.400000000009</v>
      </c>
      <c r="O89" s="178"/>
      <c r="P89" s="92"/>
      <c r="Q89" s="25"/>
    </row>
    <row r="90" spans="1:17" ht="33.6" customHeight="1" x14ac:dyDescent="0.2">
      <c r="A90" s="49"/>
      <c r="B90" s="190" t="s">
        <v>117</v>
      </c>
      <c r="C90" s="191" t="s">
        <v>118</v>
      </c>
      <c r="D90" s="192" t="s">
        <v>26</v>
      </c>
      <c r="E90" s="193"/>
      <c r="F90" s="194">
        <f t="shared" ref="F90:N90" si="16">F91</f>
        <v>1449.1000000000001</v>
      </c>
      <c r="G90" s="194">
        <f t="shared" si="16"/>
        <v>0</v>
      </c>
      <c r="H90" s="194">
        <f t="shared" si="16"/>
        <v>1449.1000000000001</v>
      </c>
      <c r="I90" s="195">
        <f t="shared" si="16"/>
        <v>13560.400000000001</v>
      </c>
      <c r="J90" s="194">
        <f t="shared" si="16"/>
        <v>0</v>
      </c>
      <c r="K90" s="195">
        <f t="shared" si="16"/>
        <v>13560.400000000001</v>
      </c>
      <c r="L90" s="194">
        <f t="shared" si="16"/>
        <v>15009.5</v>
      </c>
      <c r="M90" s="194">
        <f t="shared" si="16"/>
        <v>0</v>
      </c>
      <c r="N90" s="194">
        <f t="shared" si="16"/>
        <v>15009.5</v>
      </c>
      <c r="O90" s="178"/>
      <c r="P90" s="92"/>
    </row>
    <row r="91" spans="1:17" ht="47.25" x14ac:dyDescent="0.2">
      <c r="A91" s="42"/>
      <c r="B91" s="168" t="s">
        <v>119</v>
      </c>
      <c r="C91" s="169" t="s">
        <v>120</v>
      </c>
      <c r="D91" s="170" t="s">
        <v>26</v>
      </c>
      <c r="E91" s="171"/>
      <c r="F91" s="172">
        <f>F98+F92+F94+F96</f>
        <v>1449.1000000000001</v>
      </c>
      <c r="G91" s="172">
        <f>G98+G92+G94+G96</f>
        <v>0</v>
      </c>
      <c r="H91" s="172">
        <f>H98+H92+H94+H96</f>
        <v>1449.1000000000001</v>
      </c>
      <c r="I91" s="188">
        <f>I98+I94+I96</f>
        <v>13560.400000000001</v>
      </c>
      <c r="J91" s="172">
        <f>J98+J92+J94</f>
        <v>0</v>
      </c>
      <c r="K91" s="188">
        <f>K98+K94+K96</f>
        <v>13560.400000000001</v>
      </c>
      <c r="L91" s="172">
        <f>L98+L92+L94+L96</f>
        <v>15009.5</v>
      </c>
      <c r="M91" s="172">
        <f>M98+M92+M94+M96</f>
        <v>0</v>
      </c>
      <c r="N91" s="172">
        <f>N98+N92+N94+N96</f>
        <v>15009.5</v>
      </c>
      <c r="O91" s="178"/>
      <c r="P91" s="92"/>
    </row>
    <row r="92" spans="1:17" ht="31.5" x14ac:dyDescent="0.2">
      <c r="A92" s="42"/>
      <c r="B92" s="198" t="s">
        <v>121</v>
      </c>
      <c r="C92" s="169" t="s">
        <v>122</v>
      </c>
      <c r="D92" s="170"/>
      <c r="E92" s="171"/>
      <c r="F92" s="172">
        <v>735.3</v>
      </c>
      <c r="G92" s="172"/>
      <c r="H92" s="172">
        <f>SUM(F92)</f>
        <v>735.3</v>
      </c>
      <c r="I92" s="188"/>
      <c r="J92" s="189"/>
      <c r="K92" s="188"/>
      <c r="L92" s="172">
        <f t="shared" ref="L92:N93" si="17">SUM(F92)</f>
        <v>735.3</v>
      </c>
      <c r="M92" s="172">
        <f t="shared" si="17"/>
        <v>0</v>
      </c>
      <c r="N92" s="172">
        <f t="shared" si="17"/>
        <v>735.3</v>
      </c>
      <c r="O92" s="178"/>
      <c r="P92" s="92"/>
    </row>
    <row r="93" spans="1:17" ht="31.5" x14ac:dyDescent="0.2">
      <c r="A93" s="42"/>
      <c r="B93" s="168" t="s">
        <v>35</v>
      </c>
      <c r="C93" s="169" t="s">
        <v>122</v>
      </c>
      <c r="D93" s="170" t="s">
        <v>36</v>
      </c>
      <c r="E93" s="171"/>
      <c r="F93" s="172">
        <v>735.3</v>
      </c>
      <c r="G93" s="172"/>
      <c r="H93" s="172">
        <f>SUM(F93)</f>
        <v>735.3</v>
      </c>
      <c r="I93" s="188"/>
      <c r="J93" s="189"/>
      <c r="K93" s="188"/>
      <c r="L93" s="172">
        <f t="shared" si="17"/>
        <v>735.3</v>
      </c>
      <c r="M93" s="172">
        <f t="shared" si="17"/>
        <v>0</v>
      </c>
      <c r="N93" s="172">
        <f t="shared" si="17"/>
        <v>735.3</v>
      </c>
      <c r="O93" s="178"/>
      <c r="P93" s="92"/>
    </row>
    <row r="94" spans="1:17" ht="63" x14ac:dyDescent="0.2">
      <c r="A94" s="42"/>
      <c r="B94" s="197" t="s">
        <v>450</v>
      </c>
      <c r="C94" s="169" t="s">
        <v>449</v>
      </c>
      <c r="D94" s="170"/>
      <c r="E94" s="171"/>
      <c r="F94" s="172">
        <f>SUM(F95)</f>
        <v>0</v>
      </c>
      <c r="G94" s="172"/>
      <c r="H94" s="172">
        <f>SUM(F94+G94)</f>
        <v>0</v>
      </c>
      <c r="I94" s="188">
        <f>SUM(I95)</f>
        <v>0</v>
      </c>
      <c r="J94" s="189"/>
      <c r="K94" s="188">
        <f>SUM(K95)</f>
        <v>0</v>
      </c>
      <c r="L94" s="172">
        <f>SUM(F94+I94)</f>
        <v>0</v>
      </c>
      <c r="M94" s="172">
        <f t="shared" ref="M94:N97" si="18">SUM(G94)+J94</f>
        <v>0</v>
      </c>
      <c r="N94" s="172">
        <f t="shared" si="18"/>
        <v>0</v>
      </c>
      <c r="O94" s="178"/>
      <c r="P94" s="92"/>
    </row>
    <row r="95" spans="1:17" ht="31.5" x14ac:dyDescent="0.2">
      <c r="A95" s="42"/>
      <c r="B95" s="168" t="s">
        <v>35</v>
      </c>
      <c r="C95" s="169" t="s">
        <v>449</v>
      </c>
      <c r="D95" s="170" t="s">
        <v>36</v>
      </c>
      <c r="E95" s="171"/>
      <c r="F95" s="172">
        <v>0</v>
      </c>
      <c r="G95" s="172"/>
      <c r="H95" s="172">
        <f>SUM(F95+G95)</f>
        <v>0</v>
      </c>
      <c r="I95" s="188">
        <v>0</v>
      </c>
      <c r="J95" s="189"/>
      <c r="K95" s="188">
        <v>0</v>
      </c>
      <c r="L95" s="172">
        <f>SUM(F95+I95)</f>
        <v>0</v>
      </c>
      <c r="M95" s="172">
        <f t="shared" si="18"/>
        <v>0</v>
      </c>
      <c r="N95" s="172">
        <f t="shared" si="18"/>
        <v>0</v>
      </c>
      <c r="O95" s="178"/>
      <c r="P95" s="92"/>
    </row>
    <row r="96" spans="1:17" ht="63" x14ac:dyDescent="0.2">
      <c r="A96" s="42"/>
      <c r="B96" s="197" t="s">
        <v>450</v>
      </c>
      <c r="C96" s="199" t="s">
        <v>459</v>
      </c>
      <c r="D96" s="170"/>
      <c r="E96" s="171"/>
      <c r="F96" s="172">
        <f>SUM(F97)</f>
        <v>294.2</v>
      </c>
      <c r="G96" s="172"/>
      <c r="H96" s="172">
        <f>SUM(H97)</f>
        <v>294.2</v>
      </c>
      <c r="I96" s="188">
        <v>5589.3</v>
      </c>
      <c r="J96" s="189"/>
      <c r="K96" s="189">
        <v>5589.3</v>
      </c>
      <c r="L96" s="172">
        <f>SUM(F96+I96)</f>
        <v>5883.5</v>
      </c>
      <c r="M96" s="172">
        <f t="shared" si="18"/>
        <v>0</v>
      </c>
      <c r="N96" s="172">
        <f>SUM(H96+K96)</f>
        <v>5883.5</v>
      </c>
      <c r="O96" s="178"/>
      <c r="P96" s="92"/>
    </row>
    <row r="97" spans="1:17" ht="31.5" x14ac:dyDescent="0.2">
      <c r="A97" s="42"/>
      <c r="B97" s="168" t="s">
        <v>35</v>
      </c>
      <c r="C97" s="199" t="s">
        <v>459</v>
      </c>
      <c r="D97" s="170" t="s">
        <v>36</v>
      </c>
      <c r="E97" s="171"/>
      <c r="F97" s="172">
        <v>294.2</v>
      </c>
      <c r="G97" s="172"/>
      <c r="H97" s="172">
        <v>294.2</v>
      </c>
      <c r="I97" s="188">
        <v>5589.3</v>
      </c>
      <c r="J97" s="189"/>
      <c r="K97" s="189">
        <v>5589.3</v>
      </c>
      <c r="L97" s="172">
        <f>SUM(F97+I97)</f>
        <v>5883.5</v>
      </c>
      <c r="M97" s="172">
        <f t="shared" si="18"/>
        <v>0</v>
      </c>
      <c r="N97" s="172">
        <f t="shared" si="18"/>
        <v>5883.5</v>
      </c>
      <c r="O97" s="178"/>
      <c r="P97" s="92"/>
    </row>
    <row r="98" spans="1:17" ht="36.6" customHeight="1" x14ac:dyDescent="0.2">
      <c r="A98" s="42"/>
      <c r="B98" s="168" t="s">
        <v>123</v>
      </c>
      <c r="C98" s="169" t="s">
        <v>124</v>
      </c>
      <c r="D98" s="170" t="s">
        <v>26</v>
      </c>
      <c r="E98" s="171"/>
      <c r="F98" s="172">
        <f t="shared" ref="F98:N98" si="19">F99</f>
        <v>419.6</v>
      </c>
      <c r="G98" s="172">
        <f t="shared" si="19"/>
        <v>0</v>
      </c>
      <c r="H98" s="172">
        <f t="shared" si="19"/>
        <v>419.6</v>
      </c>
      <c r="I98" s="188">
        <f t="shared" si="19"/>
        <v>7971.1</v>
      </c>
      <c r="J98" s="188">
        <f t="shared" si="19"/>
        <v>0</v>
      </c>
      <c r="K98" s="188">
        <f t="shared" si="19"/>
        <v>7971.1</v>
      </c>
      <c r="L98" s="172">
        <f t="shared" si="19"/>
        <v>8390.7000000000007</v>
      </c>
      <c r="M98" s="172">
        <f t="shared" si="19"/>
        <v>0</v>
      </c>
      <c r="N98" s="172">
        <f t="shared" si="19"/>
        <v>8390.7000000000007</v>
      </c>
      <c r="O98" s="178"/>
      <c r="P98" s="92"/>
    </row>
    <row r="99" spans="1:17" ht="31.5" x14ac:dyDescent="0.2">
      <c r="A99" s="42"/>
      <c r="B99" s="168" t="s">
        <v>35</v>
      </c>
      <c r="C99" s="169" t="s">
        <v>124</v>
      </c>
      <c r="D99" s="170" t="s">
        <v>36</v>
      </c>
      <c r="E99" s="171"/>
      <c r="F99" s="172">
        <v>419.6</v>
      </c>
      <c r="G99" s="172"/>
      <c r="H99" s="172">
        <f>419.6+G99</f>
        <v>419.6</v>
      </c>
      <c r="I99" s="188">
        <v>7971.1</v>
      </c>
      <c r="J99" s="189"/>
      <c r="K99" s="188">
        <f>7971.1+J99</f>
        <v>7971.1</v>
      </c>
      <c r="L99" s="172">
        <f>419.6+I99</f>
        <v>8390.7000000000007</v>
      </c>
      <c r="M99" s="172">
        <f>SUM(J99)</f>
        <v>0</v>
      </c>
      <c r="N99" s="172">
        <f>419.6+K99</f>
        <v>8390.7000000000007</v>
      </c>
      <c r="O99" s="178"/>
      <c r="P99" s="92"/>
    </row>
    <row r="100" spans="1:17" ht="52.5" customHeight="1" x14ac:dyDescent="0.2">
      <c r="A100" s="49"/>
      <c r="B100" s="190" t="s">
        <v>125</v>
      </c>
      <c r="C100" s="191" t="s">
        <v>126</v>
      </c>
      <c r="D100" s="192" t="s">
        <v>26</v>
      </c>
      <c r="E100" s="193"/>
      <c r="F100" s="194">
        <f t="shared" ref="F100:N100" si="20">F101+F109</f>
        <v>17273.599999999999</v>
      </c>
      <c r="G100" s="194">
        <f>G101+G109</f>
        <v>-600</v>
      </c>
      <c r="H100" s="194">
        <f>H101+H109</f>
        <v>16673.599999999999</v>
      </c>
      <c r="I100" s="195">
        <f t="shared" si="20"/>
        <v>43692.5</v>
      </c>
      <c r="J100" s="194">
        <f t="shared" si="20"/>
        <v>0</v>
      </c>
      <c r="K100" s="195">
        <f t="shared" si="20"/>
        <v>43692.5</v>
      </c>
      <c r="L100" s="194">
        <f t="shared" si="20"/>
        <v>60966.1</v>
      </c>
      <c r="M100" s="194">
        <f t="shared" si="20"/>
        <v>-600</v>
      </c>
      <c r="N100" s="194">
        <f t="shared" si="20"/>
        <v>60366.1</v>
      </c>
      <c r="O100" s="178"/>
      <c r="P100" s="92"/>
    </row>
    <row r="101" spans="1:17" ht="31.5" x14ac:dyDescent="0.2">
      <c r="A101" s="42"/>
      <c r="B101" s="168" t="s">
        <v>127</v>
      </c>
      <c r="C101" s="169" t="s">
        <v>128</v>
      </c>
      <c r="D101" s="170" t="s">
        <v>26</v>
      </c>
      <c r="E101" s="171"/>
      <c r="F101" s="188">
        <f>F102+F107+F105</f>
        <v>10440.6</v>
      </c>
      <c r="G101" s="188">
        <f t="shared" ref="G101:N101" si="21">G102+G107+G105</f>
        <v>-600</v>
      </c>
      <c r="H101" s="188">
        <f t="shared" si="21"/>
        <v>9840.6</v>
      </c>
      <c r="I101" s="188">
        <f t="shared" si="21"/>
        <v>43692.5</v>
      </c>
      <c r="J101" s="188">
        <f t="shared" si="21"/>
        <v>0</v>
      </c>
      <c r="K101" s="188">
        <f t="shared" si="21"/>
        <v>43692.5</v>
      </c>
      <c r="L101" s="188">
        <f t="shared" si="21"/>
        <v>54133.1</v>
      </c>
      <c r="M101" s="188">
        <f t="shared" si="21"/>
        <v>-600</v>
      </c>
      <c r="N101" s="188">
        <f t="shared" si="21"/>
        <v>53533.1</v>
      </c>
      <c r="O101" s="178"/>
      <c r="P101" s="92"/>
    </row>
    <row r="102" spans="1:17" ht="49.15" customHeight="1" x14ac:dyDescent="0.2">
      <c r="A102" s="42"/>
      <c r="B102" s="168" t="s">
        <v>129</v>
      </c>
      <c r="C102" s="169" t="s">
        <v>130</v>
      </c>
      <c r="D102" s="170" t="s">
        <v>26</v>
      </c>
      <c r="E102" s="171"/>
      <c r="F102" s="172">
        <f>F103+F104</f>
        <v>10140.6</v>
      </c>
      <c r="G102" s="172">
        <f>G103+G104</f>
        <v>-600</v>
      </c>
      <c r="H102" s="172">
        <f>H103+H104</f>
        <v>9540.6</v>
      </c>
      <c r="I102" s="188">
        <f>I103+I104</f>
        <v>17036</v>
      </c>
      <c r="J102" s="189">
        <f>SUM(J103+J104)</f>
        <v>0</v>
      </c>
      <c r="K102" s="188">
        <f>K103+K104</f>
        <v>17036</v>
      </c>
      <c r="L102" s="172">
        <f>L103+L104</f>
        <v>27176.6</v>
      </c>
      <c r="M102" s="172">
        <f>M103+M104</f>
        <v>-600</v>
      </c>
      <c r="N102" s="172">
        <f>N103+N104</f>
        <v>26576.6</v>
      </c>
      <c r="O102" s="178"/>
      <c r="P102" s="92"/>
    </row>
    <row r="103" spans="1:17" ht="31.5" x14ac:dyDescent="0.2">
      <c r="A103" s="42"/>
      <c r="B103" s="168" t="s">
        <v>35</v>
      </c>
      <c r="C103" s="169" t="s">
        <v>130</v>
      </c>
      <c r="D103" s="170" t="s">
        <v>36</v>
      </c>
      <c r="E103" s="171"/>
      <c r="F103" s="172">
        <v>9000.4</v>
      </c>
      <c r="G103" s="172">
        <v>60.2</v>
      </c>
      <c r="H103" s="172">
        <f>SUM(F103)+G103</f>
        <v>9060.6</v>
      </c>
      <c r="I103" s="188">
        <v>0</v>
      </c>
      <c r="J103" s="189">
        <f>26656.5-26656.5</f>
        <v>0</v>
      </c>
      <c r="K103" s="189">
        <f>SUM(J103)</f>
        <v>0</v>
      </c>
      <c r="L103" s="172">
        <f>SUM(F103)</f>
        <v>9000.4</v>
      </c>
      <c r="M103" s="172">
        <f>SUM(J103)+G103</f>
        <v>60.2</v>
      </c>
      <c r="N103" s="172">
        <f>SUM(H103)</f>
        <v>9060.6</v>
      </c>
      <c r="O103" s="178"/>
      <c r="P103" s="92"/>
    </row>
    <row r="104" spans="1:17" ht="31.5" x14ac:dyDescent="0.2">
      <c r="A104" s="42"/>
      <c r="B104" s="168" t="s">
        <v>131</v>
      </c>
      <c r="C104" s="169" t="s">
        <v>130</v>
      </c>
      <c r="D104" s="170" t="s">
        <v>132</v>
      </c>
      <c r="E104" s="171"/>
      <c r="F104" s="172">
        <v>1140.2</v>
      </c>
      <c r="G104" s="172">
        <f>-600-60.2</f>
        <v>-660.2</v>
      </c>
      <c r="H104" s="172">
        <f>SUM(F104:G104)</f>
        <v>480</v>
      </c>
      <c r="I104" s="188">
        <v>17036</v>
      </c>
      <c r="J104" s="172"/>
      <c r="K104" s="189">
        <f>SUM(I104)</f>
        <v>17036</v>
      </c>
      <c r="L104" s="172">
        <f>SUM(F104+I104)</f>
        <v>18176.2</v>
      </c>
      <c r="M104" s="172">
        <f>SUM(J104)+G104</f>
        <v>-660.2</v>
      </c>
      <c r="N104" s="172">
        <f>SUM(H104+K104)</f>
        <v>17516</v>
      </c>
      <c r="O104" s="178"/>
      <c r="P104" s="92"/>
    </row>
    <row r="105" spans="1:17" ht="78.75" x14ac:dyDescent="0.2">
      <c r="A105" s="42"/>
      <c r="B105" s="168" t="s">
        <v>133</v>
      </c>
      <c r="C105" s="169" t="s">
        <v>134</v>
      </c>
      <c r="D105" s="170"/>
      <c r="E105" s="171"/>
      <c r="F105" s="188">
        <f>F106</f>
        <v>0</v>
      </c>
      <c r="G105" s="188">
        <f t="shared" ref="G105:N105" si="22">G106</f>
        <v>0</v>
      </c>
      <c r="H105" s="188">
        <f t="shared" si="22"/>
        <v>0</v>
      </c>
      <c r="I105" s="188">
        <f t="shared" si="22"/>
        <v>26656.5</v>
      </c>
      <c r="J105" s="188">
        <f t="shared" si="22"/>
        <v>0</v>
      </c>
      <c r="K105" s="188">
        <f t="shared" si="22"/>
        <v>26656.5</v>
      </c>
      <c r="L105" s="188">
        <f t="shared" si="22"/>
        <v>26656.5</v>
      </c>
      <c r="M105" s="188">
        <f t="shared" si="22"/>
        <v>0</v>
      </c>
      <c r="N105" s="188">
        <f t="shared" si="22"/>
        <v>26656.5</v>
      </c>
      <c r="O105" s="178"/>
      <c r="P105" s="92"/>
    </row>
    <row r="106" spans="1:17" ht="34.15" customHeight="1" x14ac:dyDescent="0.2">
      <c r="A106" s="42"/>
      <c r="B106" s="168" t="s">
        <v>35</v>
      </c>
      <c r="C106" s="169" t="s">
        <v>134</v>
      </c>
      <c r="D106" s="170" t="s">
        <v>36</v>
      </c>
      <c r="E106" s="171"/>
      <c r="F106" s="172"/>
      <c r="G106" s="172"/>
      <c r="H106" s="172"/>
      <c r="I106" s="188">
        <v>26656.5</v>
      </c>
      <c r="J106" s="189"/>
      <c r="K106" s="189">
        <f>SUM(I106:J106)</f>
        <v>26656.5</v>
      </c>
      <c r="L106" s="172">
        <f>F106+I106</f>
        <v>26656.5</v>
      </c>
      <c r="M106" s="172">
        <f>G106+J106</f>
        <v>0</v>
      </c>
      <c r="N106" s="172">
        <f>H106+K106</f>
        <v>26656.5</v>
      </c>
      <c r="O106" s="178"/>
      <c r="P106" s="92"/>
    </row>
    <row r="107" spans="1:17" ht="63" x14ac:dyDescent="0.2">
      <c r="A107" s="42"/>
      <c r="B107" s="168" t="s">
        <v>135</v>
      </c>
      <c r="C107" s="169" t="s">
        <v>136</v>
      </c>
      <c r="D107" s="170" t="s">
        <v>26</v>
      </c>
      <c r="E107" s="171"/>
      <c r="F107" s="172">
        <f>F108</f>
        <v>300</v>
      </c>
      <c r="G107" s="172">
        <f>G108</f>
        <v>0</v>
      </c>
      <c r="H107" s="172">
        <f>H108</f>
        <v>300</v>
      </c>
      <c r="I107" s="188">
        <f>I108</f>
        <v>0</v>
      </c>
      <c r="J107" s="189"/>
      <c r="K107" s="188">
        <f>K108</f>
        <v>0</v>
      </c>
      <c r="L107" s="172">
        <f>L108</f>
        <v>300</v>
      </c>
      <c r="M107" s="172">
        <f>M108</f>
        <v>0</v>
      </c>
      <c r="N107" s="172">
        <f>N108</f>
        <v>300</v>
      </c>
      <c r="O107" s="178"/>
      <c r="P107" s="92"/>
    </row>
    <row r="108" spans="1:17" ht="31.5" x14ac:dyDescent="0.2">
      <c r="A108" s="42"/>
      <c r="B108" s="168" t="s">
        <v>35</v>
      </c>
      <c r="C108" s="169" t="s">
        <v>136</v>
      </c>
      <c r="D108" s="170" t="s">
        <v>36</v>
      </c>
      <c r="E108" s="171"/>
      <c r="F108" s="172">
        <v>300</v>
      </c>
      <c r="G108" s="172"/>
      <c r="H108" s="172">
        <v>300</v>
      </c>
      <c r="I108" s="188">
        <v>0</v>
      </c>
      <c r="J108" s="189"/>
      <c r="K108" s="188">
        <v>0</v>
      </c>
      <c r="L108" s="172">
        <v>300</v>
      </c>
      <c r="M108" s="172"/>
      <c r="N108" s="172">
        <v>300</v>
      </c>
      <c r="O108" s="178"/>
      <c r="P108" s="92"/>
    </row>
    <row r="109" spans="1:17" ht="31.5" x14ac:dyDescent="0.2">
      <c r="A109" s="42"/>
      <c r="B109" s="168" t="s">
        <v>137</v>
      </c>
      <c r="C109" s="169" t="s">
        <v>138</v>
      </c>
      <c r="D109" s="170" t="s">
        <v>26</v>
      </c>
      <c r="E109" s="171"/>
      <c r="F109" s="172">
        <f t="shared" ref="F109:N110" si="23">F110</f>
        <v>6833</v>
      </c>
      <c r="G109" s="172">
        <f t="shared" si="23"/>
        <v>0</v>
      </c>
      <c r="H109" s="172">
        <f t="shared" si="23"/>
        <v>6833</v>
      </c>
      <c r="I109" s="188">
        <f t="shared" si="23"/>
        <v>0</v>
      </c>
      <c r="J109" s="189"/>
      <c r="K109" s="188">
        <f t="shared" si="23"/>
        <v>0</v>
      </c>
      <c r="L109" s="172">
        <f t="shared" si="23"/>
        <v>6833</v>
      </c>
      <c r="M109" s="172">
        <f t="shared" si="23"/>
        <v>0</v>
      </c>
      <c r="N109" s="172">
        <f t="shared" si="23"/>
        <v>6833</v>
      </c>
      <c r="O109" s="178"/>
      <c r="P109" s="92"/>
    </row>
    <row r="110" spans="1:17" ht="63" x14ac:dyDescent="0.2">
      <c r="A110" s="42"/>
      <c r="B110" s="168" t="s">
        <v>135</v>
      </c>
      <c r="C110" s="169" t="s">
        <v>139</v>
      </c>
      <c r="D110" s="170" t="s">
        <v>26</v>
      </c>
      <c r="E110" s="171"/>
      <c r="F110" s="172">
        <f t="shared" si="23"/>
        <v>6833</v>
      </c>
      <c r="G110" s="172">
        <f t="shared" si="23"/>
        <v>0</v>
      </c>
      <c r="H110" s="172">
        <f t="shared" si="23"/>
        <v>6833</v>
      </c>
      <c r="I110" s="188">
        <f t="shared" si="23"/>
        <v>0</v>
      </c>
      <c r="J110" s="189"/>
      <c r="K110" s="188">
        <f t="shared" si="23"/>
        <v>0</v>
      </c>
      <c r="L110" s="172">
        <f t="shared" si="23"/>
        <v>6833</v>
      </c>
      <c r="M110" s="172">
        <f t="shared" si="23"/>
        <v>0</v>
      </c>
      <c r="N110" s="172">
        <f t="shared" si="23"/>
        <v>6833</v>
      </c>
      <c r="O110" s="178"/>
      <c r="P110" s="92"/>
    </row>
    <row r="111" spans="1:17" ht="31.5" x14ac:dyDescent="0.2">
      <c r="A111" s="42"/>
      <c r="B111" s="168" t="s">
        <v>35</v>
      </c>
      <c r="C111" s="169" t="s">
        <v>139</v>
      </c>
      <c r="D111" s="170" t="s">
        <v>36</v>
      </c>
      <c r="E111" s="171"/>
      <c r="F111" s="172">
        <v>6833</v>
      </c>
      <c r="G111" s="172"/>
      <c r="H111" s="172">
        <v>6833</v>
      </c>
      <c r="I111" s="188">
        <v>0</v>
      </c>
      <c r="J111" s="189"/>
      <c r="K111" s="188">
        <v>0</v>
      </c>
      <c r="L111" s="172">
        <f>SUM(F111)</f>
        <v>6833</v>
      </c>
      <c r="M111" s="172">
        <f>SUM(G111)</f>
        <v>0</v>
      </c>
      <c r="N111" s="172">
        <f>SUM(H111)</f>
        <v>6833</v>
      </c>
      <c r="O111" s="178"/>
      <c r="P111" s="92"/>
    </row>
    <row r="112" spans="1:17" ht="18.75" x14ac:dyDescent="0.2">
      <c r="A112" s="49"/>
      <c r="B112" s="190" t="s">
        <v>140</v>
      </c>
      <c r="C112" s="191" t="s">
        <v>141</v>
      </c>
      <c r="D112" s="192" t="s">
        <v>26</v>
      </c>
      <c r="E112" s="193"/>
      <c r="F112" s="194">
        <f>F113+F120+F117+F123</f>
        <v>18325.5</v>
      </c>
      <c r="G112" s="194">
        <f>G113+G120+G117+G123</f>
        <v>-618.70000000000005</v>
      </c>
      <c r="H112" s="194">
        <f>H113+H120+H117+H123</f>
        <v>17706.8</v>
      </c>
      <c r="I112" s="195">
        <f>I113+I120</f>
        <v>0</v>
      </c>
      <c r="J112" s="194">
        <f>J113+J120</f>
        <v>0</v>
      </c>
      <c r="K112" s="195">
        <f>K113+K120</f>
        <v>0</v>
      </c>
      <c r="L112" s="194">
        <f>L113+L120+L117+L123</f>
        <v>18325.5</v>
      </c>
      <c r="M112" s="194">
        <f>M113+M120+M117+M123</f>
        <v>-618.70000000000005</v>
      </c>
      <c r="N112" s="194">
        <f>SUM(N113+N117+N120+N123)</f>
        <v>17706.8</v>
      </c>
      <c r="O112" s="178"/>
      <c r="P112" s="92"/>
      <c r="Q112" s="55"/>
    </row>
    <row r="113" spans="1:17" ht="47.25" x14ac:dyDescent="0.2">
      <c r="A113" s="42"/>
      <c r="B113" s="168" t="s">
        <v>142</v>
      </c>
      <c r="C113" s="169" t="s">
        <v>143</v>
      </c>
      <c r="D113" s="170" t="s">
        <v>26</v>
      </c>
      <c r="E113" s="171"/>
      <c r="F113" s="172">
        <f>F114</f>
        <v>9124.6</v>
      </c>
      <c r="G113" s="172">
        <f>G114</f>
        <v>0</v>
      </c>
      <c r="H113" s="172">
        <f>H114</f>
        <v>9124.6</v>
      </c>
      <c r="I113" s="188">
        <f>I114</f>
        <v>0</v>
      </c>
      <c r="J113" s="189"/>
      <c r="K113" s="188">
        <f>K114</f>
        <v>0</v>
      </c>
      <c r="L113" s="172">
        <f>L114</f>
        <v>9124.6</v>
      </c>
      <c r="M113" s="172">
        <f>M114</f>
        <v>0</v>
      </c>
      <c r="N113" s="172">
        <f>N114</f>
        <v>9124.6</v>
      </c>
      <c r="O113" s="178"/>
      <c r="P113" s="92"/>
    </row>
    <row r="114" spans="1:17" ht="31.5" x14ac:dyDescent="0.2">
      <c r="A114" s="42"/>
      <c r="B114" s="168" t="s">
        <v>39</v>
      </c>
      <c r="C114" s="169" t="s">
        <v>144</v>
      </c>
      <c r="D114" s="170" t="s">
        <v>26</v>
      </c>
      <c r="E114" s="171"/>
      <c r="F114" s="172">
        <f>F115+F116</f>
        <v>9124.6</v>
      </c>
      <c r="G114" s="172">
        <f>G115+G116</f>
        <v>0</v>
      </c>
      <c r="H114" s="172">
        <f>H115+H116</f>
        <v>9124.6</v>
      </c>
      <c r="I114" s="188">
        <f>I115+I116</f>
        <v>0</v>
      </c>
      <c r="J114" s="189"/>
      <c r="K114" s="188">
        <f>K115+K116</f>
        <v>0</v>
      </c>
      <c r="L114" s="172">
        <f>L115+L116</f>
        <v>9124.6</v>
      </c>
      <c r="M114" s="172">
        <f>M115+M116</f>
        <v>0</v>
      </c>
      <c r="N114" s="172">
        <f>N115+N116</f>
        <v>9124.6</v>
      </c>
      <c r="O114" s="178"/>
      <c r="P114" s="92"/>
    </row>
    <row r="115" spans="1:17" ht="64.900000000000006" customHeight="1" x14ac:dyDescent="0.2">
      <c r="A115" s="42"/>
      <c r="B115" s="168" t="s">
        <v>31</v>
      </c>
      <c r="C115" s="169" t="s">
        <v>144</v>
      </c>
      <c r="D115" s="170" t="s">
        <v>32</v>
      </c>
      <c r="E115" s="171"/>
      <c r="F115" s="172">
        <v>8871.2000000000007</v>
      </c>
      <c r="G115" s="172"/>
      <c r="H115" s="172">
        <f>SUM(F115)</f>
        <v>8871.2000000000007</v>
      </c>
      <c r="I115" s="188">
        <v>0</v>
      </c>
      <c r="J115" s="189"/>
      <c r="K115" s="188">
        <v>0</v>
      </c>
      <c r="L115" s="172">
        <f>SUM(F115)</f>
        <v>8871.2000000000007</v>
      </c>
      <c r="M115" s="172">
        <f>SUM(G115)</f>
        <v>0</v>
      </c>
      <c r="N115" s="172">
        <f>SUM(H115)</f>
        <v>8871.2000000000007</v>
      </c>
      <c r="O115" s="178"/>
      <c r="P115" s="92"/>
    </row>
    <row r="116" spans="1:17" ht="31.5" x14ac:dyDescent="0.2">
      <c r="A116" s="42"/>
      <c r="B116" s="168" t="s">
        <v>35</v>
      </c>
      <c r="C116" s="169" t="s">
        <v>144</v>
      </c>
      <c r="D116" s="170" t="s">
        <v>36</v>
      </c>
      <c r="E116" s="171"/>
      <c r="F116" s="172">
        <v>253.4</v>
      </c>
      <c r="G116" s="172"/>
      <c r="H116" s="172">
        <f>SUM(F116)</f>
        <v>253.4</v>
      </c>
      <c r="I116" s="188">
        <v>0</v>
      </c>
      <c r="J116" s="189"/>
      <c r="K116" s="188">
        <v>0</v>
      </c>
      <c r="L116" s="172">
        <f t="shared" ref="L116:N119" si="24">SUM(F116)</f>
        <v>253.4</v>
      </c>
      <c r="M116" s="172">
        <f t="shared" si="24"/>
        <v>0</v>
      </c>
      <c r="N116" s="172">
        <f t="shared" si="24"/>
        <v>253.4</v>
      </c>
      <c r="O116" s="178"/>
      <c r="P116" s="92"/>
    </row>
    <row r="117" spans="1:17" ht="18.75" x14ac:dyDescent="0.2">
      <c r="A117" s="42"/>
      <c r="B117" s="168" t="s">
        <v>145</v>
      </c>
      <c r="C117" s="169" t="s">
        <v>146</v>
      </c>
      <c r="D117" s="170"/>
      <c r="E117" s="171"/>
      <c r="F117" s="172">
        <f>SUM(F119)</f>
        <v>600</v>
      </c>
      <c r="G117" s="172"/>
      <c r="H117" s="172">
        <f>SUM(H119)</f>
        <v>600</v>
      </c>
      <c r="I117" s="188"/>
      <c r="J117" s="189"/>
      <c r="K117" s="188"/>
      <c r="L117" s="172">
        <f t="shared" si="24"/>
        <v>600</v>
      </c>
      <c r="M117" s="172">
        <f t="shared" si="24"/>
        <v>0</v>
      </c>
      <c r="N117" s="172">
        <f t="shared" si="24"/>
        <v>600</v>
      </c>
      <c r="O117" s="178"/>
      <c r="P117" s="92"/>
    </row>
    <row r="118" spans="1:17" ht="18.75" x14ac:dyDescent="0.2">
      <c r="A118" s="42"/>
      <c r="B118" s="168" t="s">
        <v>147</v>
      </c>
      <c r="C118" s="169" t="s">
        <v>148</v>
      </c>
      <c r="D118" s="170"/>
      <c r="E118" s="171"/>
      <c r="F118" s="172">
        <v>600</v>
      </c>
      <c r="G118" s="172"/>
      <c r="H118" s="172">
        <f>SUM(F118)</f>
        <v>600</v>
      </c>
      <c r="I118" s="188"/>
      <c r="J118" s="189"/>
      <c r="K118" s="188"/>
      <c r="L118" s="172">
        <f t="shared" si="24"/>
        <v>600</v>
      </c>
      <c r="M118" s="172">
        <f t="shared" si="24"/>
        <v>0</v>
      </c>
      <c r="N118" s="172">
        <f t="shared" si="24"/>
        <v>600</v>
      </c>
      <c r="O118" s="178"/>
      <c r="P118" s="92"/>
    </row>
    <row r="119" spans="1:17" ht="31.5" x14ac:dyDescent="0.2">
      <c r="A119" s="42"/>
      <c r="B119" s="168" t="s">
        <v>35</v>
      </c>
      <c r="C119" s="169" t="s">
        <v>148</v>
      </c>
      <c r="D119" s="170" t="s">
        <v>36</v>
      </c>
      <c r="E119" s="171"/>
      <c r="F119" s="172">
        <v>600</v>
      </c>
      <c r="G119" s="172"/>
      <c r="H119" s="172">
        <f>SUM(F119)</f>
        <v>600</v>
      </c>
      <c r="I119" s="188"/>
      <c r="J119" s="189"/>
      <c r="K119" s="188"/>
      <c r="L119" s="172">
        <f t="shared" si="24"/>
        <v>600</v>
      </c>
      <c r="M119" s="172">
        <f t="shared" si="24"/>
        <v>0</v>
      </c>
      <c r="N119" s="172">
        <f t="shared" si="24"/>
        <v>600</v>
      </c>
      <c r="O119" s="178"/>
      <c r="P119" s="92"/>
    </row>
    <row r="120" spans="1:17" ht="47.25" x14ac:dyDescent="0.2">
      <c r="A120" s="42"/>
      <c r="B120" s="168" t="s">
        <v>149</v>
      </c>
      <c r="C120" s="169" t="s">
        <v>150</v>
      </c>
      <c r="D120" s="170" t="s">
        <v>26</v>
      </c>
      <c r="E120" s="171"/>
      <c r="F120" s="172">
        <f t="shared" ref="F120:N121" si="25">F121</f>
        <v>7530.9</v>
      </c>
      <c r="G120" s="172">
        <f t="shared" si="25"/>
        <v>0</v>
      </c>
      <c r="H120" s="172">
        <f t="shared" si="25"/>
        <v>7530.9</v>
      </c>
      <c r="I120" s="188">
        <f t="shared" si="25"/>
        <v>0</v>
      </c>
      <c r="J120" s="189"/>
      <c r="K120" s="188">
        <f t="shared" si="25"/>
        <v>0</v>
      </c>
      <c r="L120" s="172">
        <f t="shared" si="25"/>
        <v>7530.9</v>
      </c>
      <c r="M120" s="172">
        <f t="shared" si="25"/>
        <v>0</v>
      </c>
      <c r="N120" s="172">
        <f t="shared" si="25"/>
        <v>7530.9</v>
      </c>
      <c r="O120" s="178"/>
      <c r="P120" s="92"/>
    </row>
    <row r="121" spans="1:17" ht="31.5" x14ac:dyDescent="0.2">
      <c r="A121" s="42"/>
      <c r="B121" s="168" t="s">
        <v>39</v>
      </c>
      <c r="C121" s="169" t="s">
        <v>151</v>
      </c>
      <c r="D121" s="170" t="s">
        <v>26</v>
      </c>
      <c r="E121" s="171"/>
      <c r="F121" s="172">
        <f t="shared" si="25"/>
        <v>7530.9</v>
      </c>
      <c r="G121" s="172">
        <f t="shared" si="25"/>
        <v>0</v>
      </c>
      <c r="H121" s="172">
        <f t="shared" si="25"/>
        <v>7530.9</v>
      </c>
      <c r="I121" s="188">
        <f t="shared" si="25"/>
        <v>0</v>
      </c>
      <c r="J121" s="189"/>
      <c r="K121" s="188">
        <f t="shared" si="25"/>
        <v>0</v>
      </c>
      <c r="L121" s="172">
        <f t="shared" si="25"/>
        <v>7530.9</v>
      </c>
      <c r="M121" s="172">
        <f t="shared" si="25"/>
        <v>0</v>
      </c>
      <c r="N121" s="172">
        <f t="shared" si="25"/>
        <v>7530.9</v>
      </c>
      <c r="O121" s="178"/>
      <c r="P121" s="92"/>
    </row>
    <row r="122" spans="1:17" ht="31.5" x14ac:dyDescent="0.2">
      <c r="A122" s="42"/>
      <c r="B122" s="168" t="s">
        <v>74</v>
      </c>
      <c r="C122" s="169" t="s">
        <v>151</v>
      </c>
      <c r="D122" s="170" t="s">
        <v>75</v>
      </c>
      <c r="E122" s="171"/>
      <c r="F122" s="172">
        <v>7530.9</v>
      </c>
      <c r="G122" s="172"/>
      <c r="H122" s="172">
        <f>SUM(F122)</f>
        <v>7530.9</v>
      </c>
      <c r="I122" s="188">
        <v>0</v>
      </c>
      <c r="J122" s="189"/>
      <c r="K122" s="188">
        <v>0</v>
      </c>
      <c r="L122" s="172">
        <f>SUM(F122)</f>
        <v>7530.9</v>
      </c>
      <c r="M122" s="172">
        <f>SUM(G122)</f>
        <v>0</v>
      </c>
      <c r="N122" s="172">
        <f>SUM(L122+M122)</f>
        <v>7530.9</v>
      </c>
      <c r="O122" s="178"/>
      <c r="P122" s="92"/>
    </row>
    <row r="123" spans="1:17" ht="31.5" x14ac:dyDescent="0.2">
      <c r="A123" s="42"/>
      <c r="B123" s="200" t="s">
        <v>152</v>
      </c>
      <c r="C123" s="169" t="s">
        <v>153</v>
      </c>
      <c r="D123" s="170"/>
      <c r="E123" s="171"/>
      <c r="F123" s="201">
        <v>1070</v>
      </c>
      <c r="G123" s="172">
        <f>SUM(G126)+G125</f>
        <v>-618.70000000000005</v>
      </c>
      <c r="H123" s="172">
        <f>SUM(F123:G123)</f>
        <v>451.29999999999995</v>
      </c>
      <c r="I123" s="188"/>
      <c r="J123" s="189"/>
      <c r="K123" s="188"/>
      <c r="L123" s="172">
        <f>SUM(F124)</f>
        <v>1070</v>
      </c>
      <c r="M123" s="172">
        <f t="shared" ref="M123:N126" si="26">SUM(G123)</f>
        <v>-618.70000000000005</v>
      </c>
      <c r="N123" s="172">
        <f t="shared" si="26"/>
        <v>451.29999999999995</v>
      </c>
      <c r="O123" s="178"/>
      <c r="P123" s="92"/>
    </row>
    <row r="124" spans="1:17" ht="31.5" x14ac:dyDescent="0.2">
      <c r="A124" s="42"/>
      <c r="B124" s="168" t="s">
        <v>154</v>
      </c>
      <c r="C124" s="169" t="s">
        <v>155</v>
      </c>
      <c r="D124" s="170"/>
      <c r="E124" s="171"/>
      <c r="F124" s="201">
        <v>1070</v>
      </c>
      <c r="G124" s="172">
        <f>G125+G126</f>
        <v>-618.70000000000005</v>
      </c>
      <c r="H124" s="172">
        <f>SUM(F124:G124)</f>
        <v>451.29999999999995</v>
      </c>
      <c r="I124" s="188"/>
      <c r="J124" s="189"/>
      <c r="K124" s="188"/>
      <c r="L124" s="201">
        <v>1070</v>
      </c>
      <c r="M124" s="172">
        <f t="shared" si="26"/>
        <v>-618.70000000000005</v>
      </c>
      <c r="N124" s="172">
        <f>SUM(H124)</f>
        <v>451.29999999999995</v>
      </c>
      <c r="O124" s="178"/>
      <c r="P124" s="92"/>
    </row>
    <row r="125" spans="1:17" ht="31.5" x14ac:dyDescent="0.2">
      <c r="A125" s="42"/>
      <c r="B125" s="168" t="s">
        <v>35</v>
      </c>
      <c r="C125" s="169" t="s">
        <v>155</v>
      </c>
      <c r="D125" s="170" t="s">
        <v>36</v>
      </c>
      <c r="E125" s="171"/>
      <c r="F125" s="201">
        <v>151.30000000000001</v>
      </c>
      <c r="G125" s="172"/>
      <c r="H125" s="172">
        <f>SUM(F125)+G125</f>
        <v>151.30000000000001</v>
      </c>
      <c r="I125" s="188"/>
      <c r="J125" s="189"/>
      <c r="K125" s="188"/>
      <c r="L125" s="172">
        <f>SUM(F125)</f>
        <v>151.30000000000001</v>
      </c>
      <c r="M125" s="172">
        <f>SUM(G125)</f>
        <v>0</v>
      </c>
      <c r="N125" s="172">
        <f t="shared" si="26"/>
        <v>151.30000000000001</v>
      </c>
      <c r="O125" s="178"/>
      <c r="P125" s="92"/>
    </row>
    <row r="126" spans="1:17" ht="31.5" x14ac:dyDescent="0.2">
      <c r="A126" s="42"/>
      <c r="B126" s="168" t="s">
        <v>131</v>
      </c>
      <c r="C126" s="169" t="s">
        <v>155</v>
      </c>
      <c r="D126" s="170" t="s">
        <v>132</v>
      </c>
      <c r="E126" s="171"/>
      <c r="F126" s="172">
        <v>918.7</v>
      </c>
      <c r="G126" s="172">
        <v>-618.70000000000005</v>
      </c>
      <c r="H126" s="172">
        <f>SUM(F126)+G126</f>
        <v>300</v>
      </c>
      <c r="I126" s="188"/>
      <c r="J126" s="189"/>
      <c r="K126" s="188"/>
      <c r="L126" s="172">
        <f>SUM(F126)</f>
        <v>918.7</v>
      </c>
      <c r="M126" s="172">
        <f t="shared" si="26"/>
        <v>-618.70000000000005</v>
      </c>
      <c r="N126" s="172">
        <f t="shared" si="26"/>
        <v>300</v>
      </c>
      <c r="O126" s="178"/>
      <c r="P126" s="92"/>
    </row>
    <row r="127" spans="1:17" ht="31.5" x14ac:dyDescent="0.2">
      <c r="A127" s="19" t="s">
        <v>156</v>
      </c>
      <c r="B127" s="182" t="s">
        <v>157</v>
      </c>
      <c r="C127" s="183" t="s">
        <v>158</v>
      </c>
      <c r="D127" s="184" t="s">
        <v>26</v>
      </c>
      <c r="E127" s="185"/>
      <c r="F127" s="186">
        <f t="shared" ref="F127:N127" si="27">F128+F132+F143+F175+F181</f>
        <v>221766.6</v>
      </c>
      <c r="G127" s="186">
        <f t="shared" si="27"/>
        <v>-11653.699999999999</v>
      </c>
      <c r="H127" s="186">
        <f t="shared" si="27"/>
        <v>207617.5</v>
      </c>
      <c r="I127" s="187">
        <f t="shared" si="27"/>
        <v>2305903.0000000005</v>
      </c>
      <c r="J127" s="186">
        <f t="shared" si="27"/>
        <v>7326.8</v>
      </c>
      <c r="K127" s="187">
        <f t="shared" si="27"/>
        <v>2313229.8000000003</v>
      </c>
      <c r="L127" s="186">
        <f t="shared" si="27"/>
        <v>2527669.6</v>
      </c>
      <c r="M127" s="186">
        <f t="shared" si="27"/>
        <v>-4326.8999999999978</v>
      </c>
      <c r="N127" s="186">
        <f t="shared" si="27"/>
        <v>2523342.7000000002</v>
      </c>
      <c r="O127" s="178"/>
      <c r="P127" s="92"/>
      <c r="Q127" s="25"/>
    </row>
    <row r="128" spans="1:17" ht="20.45" customHeight="1" x14ac:dyDescent="0.2">
      <c r="A128" s="49"/>
      <c r="B128" s="190" t="s">
        <v>159</v>
      </c>
      <c r="C128" s="191" t="s">
        <v>160</v>
      </c>
      <c r="D128" s="192" t="s">
        <v>26</v>
      </c>
      <c r="E128" s="193"/>
      <c r="F128" s="194">
        <f t="shared" ref="F128:K130" si="28">F129</f>
        <v>2930.2</v>
      </c>
      <c r="G128" s="194">
        <f t="shared" si="28"/>
        <v>0</v>
      </c>
      <c r="H128" s="194">
        <f t="shared" si="28"/>
        <v>2930.2</v>
      </c>
      <c r="I128" s="195">
        <f t="shared" si="28"/>
        <v>3074.2</v>
      </c>
      <c r="J128" s="196"/>
      <c r="K128" s="195">
        <f t="shared" si="28"/>
        <v>3074.2</v>
      </c>
      <c r="L128" s="194">
        <f>L129</f>
        <v>6004.4</v>
      </c>
      <c r="M128" s="194">
        <f t="shared" ref="L128:N130" si="29">M129</f>
        <v>0</v>
      </c>
      <c r="N128" s="194">
        <f t="shared" si="29"/>
        <v>6004.4</v>
      </c>
      <c r="O128" s="178"/>
      <c r="P128" s="92"/>
    </row>
    <row r="129" spans="1:17" ht="31.5" x14ac:dyDescent="0.2">
      <c r="A129" s="42"/>
      <c r="B129" s="168" t="s">
        <v>161</v>
      </c>
      <c r="C129" s="169" t="s">
        <v>162</v>
      </c>
      <c r="D129" s="170" t="s">
        <v>26</v>
      </c>
      <c r="E129" s="171"/>
      <c r="F129" s="172">
        <f t="shared" si="28"/>
        <v>2930.2</v>
      </c>
      <c r="G129" s="172">
        <f t="shared" si="28"/>
        <v>0</v>
      </c>
      <c r="H129" s="172">
        <f t="shared" si="28"/>
        <v>2930.2</v>
      </c>
      <c r="I129" s="188">
        <f t="shared" si="28"/>
        <v>3074.2</v>
      </c>
      <c r="J129" s="189"/>
      <c r="K129" s="188">
        <f t="shared" si="28"/>
        <v>3074.2</v>
      </c>
      <c r="L129" s="172">
        <f t="shared" si="29"/>
        <v>6004.4</v>
      </c>
      <c r="M129" s="172">
        <f t="shared" si="29"/>
        <v>0</v>
      </c>
      <c r="N129" s="172">
        <f t="shared" si="29"/>
        <v>6004.4</v>
      </c>
      <c r="O129" s="178"/>
      <c r="P129" s="92"/>
    </row>
    <row r="130" spans="1:17" ht="24" customHeight="1" x14ac:dyDescent="0.2">
      <c r="A130" s="42"/>
      <c r="B130" s="168" t="s">
        <v>163</v>
      </c>
      <c r="C130" s="169" t="s">
        <v>164</v>
      </c>
      <c r="D130" s="170" t="s">
        <v>26</v>
      </c>
      <c r="E130" s="171"/>
      <c r="F130" s="172">
        <f t="shared" si="28"/>
        <v>2930.2</v>
      </c>
      <c r="G130" s="172">
        <f t="shared" si="28"/>
        <v>0</v>
      </c>
      <c r="H130" s="172">
        <f t="shared" si="28"/>
        <v>2930.2</v>
      </c>
      <c r="I130" s="188">
        <f t="shared" si="28"/>
        <v>3074.2</v>
      </c>
      <c r="J130" s="189"/>
      <c r="K130" s="188">
        <f t="shared" si="28"/>
        <v>3074.2</v>
      </c>
      <c r="L130" s="172">
        <f t="shared" si="29"/>
        <v>6004.4</v>
      </c>
      <c r="M130" s="172">
        <f t="shared" si="29"/>
        <v>0</v>
      </c>
      <c r="N130" s="172">
        <f t="shared" si="29"/>
        <v>6004.4</v>
      </c>
      <c r="O130" s="178"/>
      <c r="P130" s="92"/>
    </row>
    <row r="131" spans="1:17" ht="18.75" x14ac:dyDescent="0.2">
      <c r="A131" s="42"/>
      <c r="B131" s="168" t="s">
        <v>54</v>
      </c>
      <c r="C131" s="169" t="s">
        <v>164</v>
      </c>
      <c r="D131" s="170" t="s">
        <v>55</v>
      </c>
      <c r="E131" s="171"/>
      <c r="F131" s="172">
        <v>2930.2</v>
      </c>
      <c r="G131" s="172"/>
      <c r="H131" s="172">
        <v>2930.2</v>
      </c>
      <c r="I131" s="188">
        <v>3074.2</v>
      </c>
      <c r="J131" s="189"/>
      <c r="K131" s="188">
        <v>3074.2</v>
      </c>
      <c r="L131" s="172">
        <f>2930.2+I131</f>
        <v>6004.4</v>
      </c>
      <c r="M131" s="172"/>
      <c r="N131" s="172">
        <f>2930.2+K131</f>
        <v>6004.4</v>
      </c>
      <c r="O131" s="178"/>
      <c r="P131" s="92"/>
    </row>
    <row r="132" spans="1:17" ht="31.5" x14ac:dyDescent="0.2">
      <c r="A132" s="49"/>
      <c r="B132" s="190" t="s">
        <v>165</v>
      </c>
      <c r="C132" s="191" t="s">
        <v>166</v>
      </c>
      <c r="D132" s="192" t="s">
        <v>26</v>
      </c>
      <c r="E132" s="193"/>
      <c r="F132" s="194">
        <f t="shared" ref="F132:N132" si="30">F133</f>
        <v>14792.900000000001</v>
      </c>
      <c r="G132" s="194">
        <f t="shared" si="30"/>
        <v>0</v>
      </c>
      <c r="H132" s="194">
        <f t="shared" si="30"/>
        <v>14792.900000000001</v>
      </c>
      <c r="I132" s="195">
        <f t="shared" si="30"/>
        <v>2301493.8000000003</v>
      </c>
      <c r="J132" s="194">
        <f t="shared" si="30"/>
        <v>0</v>
      </c>
      <c r="K132" s="195">
        <f t="shared" si="30"/>
        <v>2301493.8000000003</v>
      </c>
      <c r="L132" s="194">
        <f t="shared" si="30"/>
        <v>2316286.7000000002</v>
      </c>
      <c r="M132" s="194">
        <f t="shared" si="30"/>
        <v>0</v>
      </c>
      <c r="N132" s="194">
        <f t="shared" si="30"/>
        <v>2316286.7000000002</v>
      </c>
      <c r="O132" s="178"/>
      <c r="P132" s="92"/>
      <c r="Q132" s="55"/>
    </row>
    <row r="133" spans="1:17" ht="39.6" customHeight="1" x14ac:dyDescent="0.2">
      <c r="A133" s="42"/>
      <c r="B133" s="168" t="s">
        <v>167</v>
      </c>
      <c r="C133" s="169" t="s">
        <v>168</v>
      </c>
      <c r="D133" s="170" t="s">
        <v>26</v>
      </c>
      <c r="E133" s="171"/>
      <c r="F133" s="172">
        <f>F134+F137+F139+F141</f>
        <v>14792.900000000001</v>
      </c>
      <c r="G133" s="172">
        <f>SUM(G134+G141)</f>
        <v>0</v>
      </c>
      <c r="H133" s="172">
        <f>H134+H137+H139+H141</f>
        <v>14792.900000000001</v>
      </c>
      <c r="I133" s="188">
        <f t="shared" ref="I133:N133" si="31">I134+I137+I139+I141</f>
        <v>2301493.8000000003</v>
      </c>
      <c r="J133" s="172">
        <f>SUM(J137+J141)</f>
        <v>0</v>
      </c>
      <c r="K133" s="188">
        <f t="shared" si="31"/>
        <v>2301493.8000000003</v>
      </c>
      <c r="L133" s="172">
        <f t="shared" si="31"/>
        <v>2316286.7000000002</v>
      </c>
      <c r="M133" s="172">
        <f>SUM(J133)</f>
        <v>0</v>
      </c>
      <c r="N133" s="172">
        <f t="shared" si="31"/>
        <v>2316286.7000000002</v>
      </c>
      <c r="O133" s="178"/>
      <c r="P133" s="92"/>
      <c r="Q133" s="48"/>
    </row>
    <row r="134" spans="1:17" ht="18.75" x14ac:dyDescent="0.2">
      <c r="A134" s="42"/>
      <c r="B134" s="168" t="s">
        <v>169</v>
      </c>
      <c r="C134" s="169" t="s">
        <v>170</v>
      </c>
      <c r="D134" s="170" t="s">
        <v>26</v>
      </c>
      <c r="E134" s="171"/>
      <c r="F134" s="172">
        <f>F135+F136</f>
        <v>2286.1</v>
      </c>
      <c r="G134" s="172">
        <f>G135+G136</f>
        <v>0</v>
      </c>
      <c r="H134" s="172">
        <f>H135+H136</f>
        <v>2286.1</v>
      </c>
      <c r="I134" s="188">
        <f>I135</f>
        <v>1529.5</v>
      </c>
      <c r="J134" s="172">
        <f>J135</f>
        <v>0</v>
      </c>
      <c r="K134" s="188">
        <f>K135</f>
        <v>1529.5</v>
      </c>
      <c r="L134" s="172">
        <f>L135+F134</f>
        <v>3815.6</v>
      </c>
      <c r="M134" s="172">
        <f>M135+M136</f>
        <v>0</v>
      </c>
      <c r="N134" s="172">
        <f>N135+N136</f>
        <v>3815.6</v>
      </c>
      <c r="O134" s="178"/>
      <c r="P134" s="92"/>
    </row>
    <row r="135" spans="1:17" ht="31.5" x14ac:dyDescent="0.2">
      <c r="A135" s="42"/>
      <c r="B135" s="168" t="s">
        <v>35</v>
      </c>
      <c r="C135" s="169" t="s">
        <v>170</v>
      </c>
      <c r="D135" s="170" t="s">
        <v>36</v>
      </c>
      <c r="E135" s="171"/>
      <c r="F135" s="172">
        <v>0</v>
      </c>
      <c r="G135" s="172"/>
      <c r="H135" s="172">
        <f>SUM(F135+G135)</f>
        <v>0</v>
      </c>
      <c r="I135" s="188">
        <v>1529.5</v>
      </c>
      <c r="J135" s="189"/>
      <c r="K135" s="189">
        <f>SUM(I135)</f>
        <v>1529.5</v>
      </c>
      <c r="L135" s="172">
        <f>SUM(I135)</f>
        <v>1529.5</v>
      </c>
      <c r="M135" s="172">
        <f>SUM(G135+J135)</f>
        <v>0</v>
      </c>
      <c r="N135" s="172">
        <f>SUM(K135)</f>
        <v>1529.5</v>
      </c>
      <c r="O135" s="178"/>
      <c r="P135" s="92"/>
    </row>
    <row r="136" spans="1:17" ht="31.5" x14ac:dyDescent="0.2">
      <c r="A136" s="42"/>
      <c r="B136" s="168" t="s">
        <v>131</v>
      </c>
      <c r="C136" s="169" t="s">
        <v>170</v>
      </c>
      <c r="D136" s="170" t="s">
        <v>132</v>
      </c>
      <c r="E136" s="171"/>
      <c r="F136" s="172">
        <v>2286.1</v>
      </c>
      <c r="G136" s="172"/>
      <c r="H136" s="172">
        <f>SUM(F136)+G136</f>
        <v>2286.1</v>
      </c>
      <c r="I136" s="188"/>
      <c r="J136" s="189"/>
      <c r="K136" s="189"/>
      <c r="L136" s="172">
        <f>SUM(F136)</f>
        <v>2286.1</v>
      </c>
      <c r="M136" s="172">
        <f>SUM(G136)</f>
        <v>0</v>
      </c>
      <c r="N136" s="172">
        <f>SUM(H136)</f>
        <v>2286.1</v>
      </c>
      <c r="O136" s="178"/>
      <c r="P136" s="92"/>
    </row>
    <row r="137" spans="1:17" ht="20.45" customHeight="1" x14ac:dyDescent="0.2">
      <c r="A137" s="42"/>
      <c r="B137" s="168" t="s">
        <v>171</v>
      </c>
      <c r="C137" s="169" t="s">
        <v>172</v>
      </c>
      <c r="D137" s="170" t="s">
        <v>26</v>
      </c>
      <c r="E137" s="171"/>
      <c r="F137" s="172">
        <f t="shared" ref="F137:N137" si="32">F138</f>
        <v>11457.5</v>
      </c>
      <c r="G137" s="172">
        <f t="shared" si="32"/>
        <v>0</v>
      </c>
      <c r="H137" s="172">
        <f t="shared" si="32"/>
        <v>11457.5</v>
      </c>
      <c r="I137" s="188">
        <f t="shared" si="32"/>
        <v>2280029.1</v>
      </c>
      <c r="J137" s="189">
        <f t="shared" si="32"/>
        <v>0</v>
      </c>
      <c r="K137" s="188">
        <f t="shared" si="32"/>
        <v>2280029.1</v>
      </c>
      <c r="L137" s="172">
        <f t="shared" si="32"/>
        <v>2291486.6</v>
      </c>
      <c r="M137" s="172">
        <f t="shared" si="32"/>
        <v>0</v>
      </c>
      <c r="N137" s="172">
        <f t="shared" si="32"/>
        <v>2291486.6</v>
      </c>
      <c r="O137" s="178"/>
      <c r="P137" s="92"/>
    </row>
    <row r="138" spans="1:17" ht="31.5" x14ac:dyDescent="0.2">
      <c r="A138" s="42"/>
      <c r="B138" s="168" t="s">
        <v>131</v>
      </c>
      <c r="C138" s="169" t="s">
        <v>172</v>
      </c>
      <c r="D138" s="170" t="s">
        <v>132</v>
      </c>
      <c r="E138" s="171"/>
      <c r="F138" s="172">
        <v>11457.5</v>
      </c>
      <c r="G138" s="172"/>
      <c r="H138" s="172">
        <v>11457.5</v>
      </c>
      <c r="I138" s="188">
        <v>2280029.1</v>
      </c>
      <c r="J138" s="189"/>
      <c r="K138" s="188">
        <f>2280029.1+J138</f>
        <v>2280029.1</v>
      </c>
      <c r="L138" s="172">
        <f>11457.5+I138</f>
        <v>2291486.6</v>
      </c>
      <c r="M138" s="172">
        <f>SUM(J138)</f>
        <v>0</v>
      </c>
      <c r="N138" s="172">
        <f>11457.5+K138</f>
        <v>2291486.6</v>
      </c>
      <c r="O138" s="178"/>
      <c r="P138" s="92"/>
    </row>
    <row r="139" spans="1:17" ht="18.75" x14ac:dyDescent="0.2">
      <c r="A139" s="42"/>
      <c r="B139" s="168" t="s">
        <v>173</v>
      </c>
      <c r="C139" s="169" t="s">
        <v>174</v>
      </c>
      <c r="D139" s="170" t="s">
        <v>26</v>
      </c>
      <c r="E139" s="171"/>
      <c r="F139" s="172">
        <f>F140</f>
        <v>386.1</v>
      </c>
      <c r="G139" s="172">
        <f>G140</f>
        <v>0</v>
      </c>
      <c r="H139" s="172">
        <f>H140</f>
        <v>386.1</v>
      </c>
      <c r="I139" s="188">
        <f>I140</f>
        <v>7335.5</v>
      </c>
      <c r="J139" s="189"/>
      <c r="K139" s="188">
        <f>K140</f>
        <v>7335.5</v>
      </c>
      <c r="L139" s="172">
        <f>L140</f>
        <v>7721.6</v>
      </c>
      <c r="M139" s="172">
        <f>M140</f>
        <v>0</v>
      </c>
      <c r="N139" s="172">
        <f>N140</f>
        <v>7721.6</v>
      </c>
      <c r="O139" s="178"/>
      <c r="P139" s="92"/>
    </row>
    <row r="140" spans="1:17" ht="31.5" x14ac:dyDescent="0.2">
      <c r="A140" s="42"/>
      <c r="B140" s="168" t="s">
        <v>131</v>
      </c>
      <c r="C140" s="169" t="s">
        <v>174</v>
      </c>
      <c r="D140" s="170" t="s">
        <v>132</v>
      </c>
      <c r="E140" s="171"/>
      <c r="F140" s="172">
        <v>386.1</v>
      </c>
      <c r="G140" s="172"/>
      <c r="H140" s="172">
        <f>SUM(F140)</f>
        <v>386.1</v>
      </c>
      <c r="I140" s="188">
        <f>14200-6864.5</f>
        <v>7335.5</v>
      </c>
      <c r="J140" s="189"/>
      <c r="K140" s="188">
        <f>14200-6864.5</f>
        <v>7335.5</v>
      </c>
      <c r="L140" s="188">
        <f>SUM(F140+I140)</f>
        <v>7721.6</v>
      </c>
      <c r="M140" s="172">
        <f>SUM(G140)</f>
        <v>0</v>
      </c>
      <c r="N140" s="188">
        <f>SUM(H140+K140)</f>
        <v>7721.6</v>
      </c>
      <c r="O140" s="178"/>
      <c r="P140" s="92"/>
    </row>
    <row r="141" spans="1:17" ht="18.75" x14ac:dyDescent="0.2">
      <c r="A141" s="42"/>
      <c r="B141" s="168" t="s">
        <v>175</v>
      </c>
      <c r="C141" s="169" t="s">
        <v>176</v>
      </c>
      <c r="D141" s="170" t="s">
        <v>26</v>
      </c>
      <c r="E141" s="171"/>
      <c r="F141" s="172">
        <f>F142</f>
        <v>663.2</v>
      </c>
      <c r="G141" s="172">
        <f>G142</f>
        <v>0</v>
      </c>
      <c r="H141" s="172">
        <f>H142</f>
        <v>663.2</v>
      </c>
      <c r="I141" s="188">
        <f>I142</f>
        <v>12599.699999999999</v>
      </c>
      <c r="J141" s="189"/>
      <c r="K141" s="188">
        <f>K142</f>
        <v>12599.699999999999</v>
      </c>
      <c r="L141" s="172">
        <f>L142</f>
        <v>13262.9</v>
      </c>
      <c r="M141" s="172">
        <f>M142</f>
        <v>0</v>
      </c>
      <c r="N141" s="172">
        <f>N142</f>
        <v>13262.9</v>
      </c>
      <c r="O141" s="178"/>
      <c r="P141" s="92"/>
    </row>
    <row r="142" spans="1:17" ht="31.5" x14ac:dyDescent="0.2">
      <c r="A142" s="42"/>
      <c r="B142" s="168" t="s">
        <v>131</v>
      </c>
      <c r="C142" s="169" t="s">
        <v>176</v>
      </c>
      <c r="D142" s="170" t="s">
        <v>132</v>
      </c>
      <c r="E142" s="171"/>
      <c r="F142" s="172">
        <v>663.2</v>
      </c>
      <c r="G142" s="172"/>
      <c r="H142" s="172">
        <v>663.2</v>
      </c>
      <c r="I142" s="188">
        <f>11689.4+910.3</f>
        <v>12599.699999999999</v>
      </c>
      <c r="J142" s="189"/>
      <c r="K142" s="188">
        <f>11689.4+910.3+J142</f>
        <v>12599.699999999999</v>
      </c>
      <c r="L142" s="172">
        <f>SUM(F142+I142)</f>
        <v>13262.9</v>
      </c>
      <c r="M142" s="172">
        <f>SUM(J142)</f>
        <v>0</v>
      </c>
      <c r="N142" s="172">
        <f>SUM(H142+K142)</f>
        <v>13262.9</v>
      </c>
      <c r="O142" s="178"/>
      <c r="P142" s="92"/>
    </row>
    <row r="143" spans="1:17" ht="18.75" x14ac:dyDescent="0.2">
      <c r="A143" s="49"/>
      <c r="B143" s="190" t="s">
        <v>177</v>
      </c>
      <c r="C143" s="191" t="s">
        <v>178</v>
      </c>
      <c r="D143" s="192" t="s">
        <v>26</v>
      </c>
      <c r="E143" s="193"/>
      <c r="F143" s="194">
        <f t="shared" ref="F143:N143" si="33">F144</f>
        <v>49846.600000000006</v>
      </c>
      <c r="G143" s="194">
        <f t="shared" si="33"/>
        <v>-1577.3999999999996</v>
      </c>
      <c r="H143" s="194">
        <f t="shared" si="33"/>
        <v>45773.8</v>
      </c>
      <c r="I143" s="195">
        <f t="shared" si="33"/>
        <v>1335</v>
      </c>
      <c r="J143" s="195">
        <f t="shared" si="33"/>
        <v>7326.8</v>
      </c>
      <c r="K143" s="195">
        <f t="shared" si="33"/>
        <v>8661.7999999999993</v>
      </c>
      <c r="L143" s="194">
        <f t="shared" si="33"/>
        <v>51181.600000000006</v>
      </c>
      <c r="M143" s="194">
        <f t="shared" si="33"/>
        <v>5749.4000000000015</v>
      </c>
      <c r="N143" s="194">
        <f t="shared" si="33"/>
        <v>56931.000000000007</v>
      </c>
      <c r="O143" s="178"/>
      <c r="P143" s="92"/>
      <c r="Q143" s="55"/>
    </row>
    <row r="144" spans="1:17" ht="34.9" customHeight="1" x14ac:dyDescent="0.2">
      <c r="A144" s="42"/>
      <c r="B144" s="168" t="s">
        <v>179</v>
      </c>
      <c r="C144" s="169" t="s">
        <v>180</v>
      </c>
      <c r="D144" s="170" t="s">
        <v>26</v>
      </c>
      <c r="E144" s="171"/>
      <c r="F144" s="172">
        <f>F145+F147+F149+F151+F157+F159+F153+F169</f>
        <v>49846.600000000006</v>
      </c>
      <c r="G144" s="172">
        <f>G145+G147+G149+G151+G153+G157+G159+G165+G167+G169</f>
        <v>-1577.3999999999996</v>
      </c>
      <c r="H144" s="172">
        <f>H145+H147+H149+H151+H157+H159+H153+H169+H167</f>
        <v>45773.8</v>
      </c>
      <c r="I144" s="188">
        <f>I145+I147+I149+I151+I157+I159+I169</f>
        <v>1335</v>
      </c>
      <c r="J144" s="189">
        <f>SUM(J169)+J165+J167+J155</f>
        <v>7326.8</v>
      </c>
      <c r="K144" s="188">
        <f>SUM(K147+K155+K167+K169)+K165</f>
        <v>8661.7999999999993</v>
      </c>
      <c r="L144" s="172">
        <f>L145+L147+L149+L151+L157+L159+L153+L169+L165+L167+L155</f>
        <v>51181.600000000006</v>
      </c>
      <c r="M144" s="172">
        <f>SUM(M145+M153+M159+M167)+M165+M149+M157+M155</f>
        <v>5749.4000000000015</v>
      </c>
      <c r="N144" s="172">
        <f>N145+N147+N149+N151+N157+N159+N153+N169+N165+N167+N155</f>
        <v>56931.000000000007</v>
      </c>
      <c r="O144" s="178"/>
      <c r="P144" s="92"/>
      <c r="Q144" s="48"/>
    </row>
    <row r="145" spans="1:17" ht="18.75" x14ac:dyDescent="0.2">
      <c r="A145" s="42"/>
      <c r="B145" s="168" t="s">
        <v>181</v>
      </c>
      <c r="C145" s="169" t="s">
        <v>182</v>
      </c>
      <c r="D145" s="170" t="s">
        <v>26</v>
      </c>
      <c r="E145" s="171"/>
      <c r="F145" s="172">
        <f>F146</f>
        <v>18613.2</v>
      </c>
      <c r="G145" s="172">
        <f>G146</f>
        <v>852.6</v>
      </c>
      <c r="H145" s="172">
        <f>H146</f>
        <v>19465.8</v>
      </c>
      <c r="I145" s="188">
        <f>I146</f>
        <v>0</v>
      </c>
      <c r="J145" s="189"/>
      <c r="K145" s="188">
        <f>K146</f>
        <v>0</v>
      </c>
      <c r="L145" s="172">
        <f>L146</f>
        <v>18613.2</v>
      </c>
      <c r="M145" s="172">
        <f>M146</f>
        <v>852.6</v>
      </c>
      <c r="N145" s="172">
        <f>N146</f>
        <v>19465.8</v>
      </c>
      <c r="O145" s="178"/>
      <c r="P145" s="92"/>
    </row>
    <row r="146" spans="1:17" ht="31.5" x14ac:dyDescent="0.2">
      <c r="A146" s="42"/>
      <c r="B146" s="168" t="s">
        <v>35</v>
      </c>
      <c r="C146" s="169" t="s">
        <v>182</v>
      </c>
      <c r="D146" s="170" t="s">
        <v>36</v>
      </c>
      <c r="E146" s="171"/>
      <c r="F146" s="172">
        <v>18613.2</v>
      </c>
      <c r="G146" s="172">
        <v>852.6</v>
      </c>
      <c r="H146" s="172">
        <f>SUM(F146)+G146</f>
        <v>19465.8</v>
      </c>
      <c r="I146" s="188">
        <v>0</v>
      </c>
      <c r="J146" s="189"/>
      <c r="K146" s="188">
        <v>0</v>
      </c>
      <c r="L146" s="172">
        <f>SUM(F146)</f>
        <v>18613.2</v>
      </c>
      <c r="M146" s="172">
        <f>SUM(G146)</f>
        <v>852.6</v>
      </c>
      <c r="N146" s="172">
        <f>SUM(H146)</f>
        <v>19465.8</v>
      </c>
      <c r="O146" s="178"/>
      <c r="P146" s="92"/>
    </row>
    <row r="147" spans="1:17" ht="18.75" x14ac:dyDescent="0.2">
      <c r="A147" s="42"/>
      <c r="B147" s="168" t="s">
        <v>183</v>
      </c>
      <c r="C147" s="169" t="s">
        <v>184</v>
      </c>
      <c r="D147" s="170" t="s">
        <v>26</v>
      </c>
      <c r="E147" s="171"/>
      <c r="F147" s="172">
        <f t="shared" ref="F147:N147" si="34">F148</f>
        <v>10114.1</v>
      </c>
      <c r="G147" s="172">
        <f t="shared" si="34"/>
        <v>0</v>
      </c>
      <c r="H147" s="172">
        <f t="shared" si="34"/>
        <v>10114.1</v>
      </c>
      <c r="I147" s="188">
        <f t="shared" si="34"/>
        <v>75</v>
      </c>
      <c r="J147" s="172">
        <f t="shared" si="34"/>
        <v>0</v>
      </c>
      <c r="K147" s="188">
        <f t="shared" si="34"/>
        <v>75</v>
      </c>
      <c r="L147" s="172">
        <f t="shared" si="34"/>
        <v>10189.1</v>
      </c>
      <c r="M147" s="172">
        <f t="shared" si="34"/>
        <v>0</v>
      </c>
      <c r="N147" s="172">
        <f t="shared" si="34"/>
        <v>10189.1</v>
      </c>
      <c r="O147" s="178"/>
      <c r="P147" s="92"/>
    </row>
    <row r="148" spans="1:17" ht="31.5" x14ac:dyDescent="0.2">
      <c r="A148" s="42"/>
      <c r="B148" s="168" t="s">
        <v>35</v>
      </c>
      <c r="C148" s="169" t="s">
        <v>184</v>
      </c>
      <c r="D148" s="170" t="s">
        <v>36</v>
      </c>
      <c r="E148" s="171"/>
      <c r="F148" s="172">
        <v>10114.1</v>
      </c>
      <c r="G148" s="172"/>
      <c r="H148" s="172">
        <f>SUM(F148)+G148</f>
        <v>10114.1</v>
      </c>
      <c r="I148" s="188">
        <v>75</v>
      </c>
      <c r="J148" s="189"/>
      <c r="K148" s="188">
        <f>SUM(I148)</f>
        <v>75</v>
      </c>
      <c r="L148" s="172">
        <f>SUM(F148+I148)</f>
        <v>10189.1</v>
      </c>
      <c r="M148" s="172">
        <f>SUM(J148)+G148</f>
        <v>0</v>
      </c>
      <c r="N148" s="172">
        <f>SUM(H148+K148)</f>
        <v>10189.1</v>
      </c>
      <c r="O148" s="178"/>
      <c r="P148" s="92"/>
    </row>
    <row r="149" spans="1:17" ht="18.75" x14ac:dyDescent="0.2">
      <c r="A149" s="42"/>
      <c r="B149" s="168" t="s">
        <v>185</v>
      </c>
      <c r="C149" s="169" t="s">
        <v>186</v>
      </c>
      <c r="D149" s="170" t="s">
        <v>26</v>
      </c>
      <c r="E149" s="171"/>
      <c r="F149" s="172">
        <f>F150</f>
        <v>2518.5</v>
      </c>
      <c r="G149" s="172">
        <f>G150</f>
        <v>300</v>
      </c>
      <c r="H149" s="172">
        <f>H150</f>
        <v>2818.5</v>
      </c>
      <c r="I149" s="188">
        <f>I150</f>
        <v>0</v>
      </c>
      <c r="J149" s="189"/>
      <c r="K149" s="188">
        <f>K150</f>
        <v>0</v>
      </c>
      <c r="L149" s="172">
        <f>L150</f>
        <v>2518.5</v>
      </c>
      <c r="M149" s="172">
        <f>M150</f>
        <v>300</v>
      </c>
      <c r="N149" s="172">
        <f>N150</f>
        <v>2818.5</v>
      </c>
      <c r="O149" s="178"/>
      <c r="P149" s="92"/>
    </row>
    <row r="150" spans="1:17" ht="31.5" x14ac:dyDescent="0.2">
      <c r="A150" s="42"/>
      <c r="B150" s="168" t="s">
        <v>35</v>
      </c>
      <c r="C150" s="169" t="s">
        <v>186</v>
      </c>
      <c r="D150" s="170" t="s">
        <v>36</v>
      </c>
      <c r="E150" s="171"/>
      <c r="F150" s="172">
        <v>2518.5</v>
      </c>
      <c r="G150" s="172">
        <v>300</v>
      </c>
      <c r="H150" s="172">
        <f>SUM(F150)+G150</f>
        <v>2818.5</v>
      </c>
      <c r="I150" s="188">
        <v>0</v>
      </c>
      <c r="J150" s="189"/>
      <c r="K150" s="188">
        <v>0</v>
      </c>
      <c r="L150" s="172">
        <f>SUM(F150)</f>
        <v>2518.5</v>
      </c>
      <c r="M150" s="172">
        <f>SUM(G150)</f>
        <v>300</v>
      </c>
      <c r="N150" s="172">
        <f>SUM(L150)+M150</f>
        <v>2818.5</v>
      </c>
      <c r="O150" s="178"/>
      <c r="P150" s="92"/>
      <c r="Q150" s="43"/>
    </row>
    <row r="151" spans="1:17" ht="18.75" x14ac:dyDescent="0.2">
      <c r="A151" s="42"/>
      <c r="B151" s="168" t="s">
        <v>187</v>
      </c>
      <c r="C151" s="169" t="s">
        <v>188</v>
      </c>
      <c r="D151" s="170" t="s">
        <v>26</v>
      </c>
      <c r="E151" s="171"/>
      <c r="F151" s="172">
        <f>F152</f>
        <v>2161.8000000000002</v>
      </c>
      <c r="G151" s="172">
        <f>G152</f>
        <v>0</v>
      </c>
      <c r="H151" s="172">
        <f>H152</f>
        <v>2161.8000000000002</v>
      </c>
      <c r="I151" s="188">
        <f>I152</f>
        <v>0</v>
      </c>
      <c r="J151" s="189"/>
      <c r="K151" s="188">
        <f>K152</f>
        <v>0</v>
      </c>
      <c r="L151" s="172">
        <f>L152</f>
        <v>2161.8000000000002</v>
      </c>
      <c r="M151" s="172">
        <f>M152</f>
        <v>0</v>
      </c>
      <c r="N151" s="172">
        <f>N152</f>
        <v>2161.8000000000002</v>
      </c>
      <c r="O151" s="178"/>
      <c r="P151" s="92"/>
    </row>
    <row r="152" spans="1:17" ht="31.5" x14ac:dyDescent="0.2">
      <c r="A152" s="42"/>
      <c r="B152" s="168" t="s">
        <v>35</v>
      </c>
      <c r="C152" s="169" t="s">
        <v>188</v>
      </c>
      <c r="D152" s="170" t="s">
        <v>36</v>
      </c>
      <c r="E152" s="171"/>
      <c r="F152" s="172">
        <v>2161.8000000000002</v>
      </c>
      <c r="G152" s="172"/>
      <c r="H152" s="172">
        <f>SUM(F152)+G152</f>
        <v>2161.8000000000002</v>
      </c>
      <c r="I152" s="188">
        <v>0</v>
      </c>
      <c r="J152" s="189"/>
      <c r="K152" s="188">
        <v>0</v>
      </c>
      <c r="L152" s="172">
        <f t="shared" ref="L152:N154" si="35">SUM(F152)</f>
        <v>2161.8000000000002</v>
      </c>
      <c r="M152" s="172">
        <f t="shared" si="35"/>
        <v>0</v>
      </c>
      <c r="N152" s="172">
        <f t="shared" si="35"/>
        <v>2161.8000000000002</v>
      </c>
      <c r="O152" s="178"/>
      <c r="P152" s="92"/>
    </row>
    <row r="153" spans="1:17" ht="27" customHeight="1" x14ac:dyDescent="0.2">
      <c r="A153" s="42"/>
      <c r="B153" s="168" t="s">
        <v>189</v>
      </c>
      <c r="C153" s="169" t="s">
        <v>190</v>
      </c>
      <c r="D153" s="170"/>
      <c r="E153" s="171"/>
      <c r="F153" s="172">
        <v>583.6</v>
      </c>
      <c r="G153" s="172">
        <f>G154</f>
        <v>0</v>
      </c>
      <c r="H153" s="172">
        <f>SUM(F153)+G153</f>
        <v>583.6</v>
      </c>
      <c r="I153" s="188"/>
      <c r="J153" s="189"/>
      <c r="K153" s="188"/>
      <c r="L153" s="172">
        <f t="shared" si="35"/>
        <v>583.6</v>
      </c>
      <c r="M153" s="172">
        <f t="shared" si="35"/>
        <v>0</v>
      </c>
      <c r="N153" s="172">
        <f t="shared" si="35"/>
        <v>583.6</v>
      </c>
      <c r="O153" s="178"/>
      <c r="P153" s="92"/>
    </row>
    <row r="154" spans="1:17" ht="31.5" x14ac:dyDescent="0.2">
      <c r="A154" s="42"/>
      <c r="B154" s="168" t="s">
        <v>35</v>
      </c>
      <c r="C154" s="169" t="s">
        <v>190</v>
      </c>
      <c r="D154" s="170" t="s">
        <v>36</v>
      </c>
      <c r="E154" s="171"/>
      <c r="F154" s="172">
        <v>583.6</v>
      </c>
      <c r="G154" s="172">
        <f>1000-1000</f>
        <v>0</v>
      </c>
      <c r="H154" s="172">
        <f>SUM(F154)+G154</f>
        <v>583.6</v>
      </c>
      <c r="I154" s="188"/>
      <c r="J154" s="189"/>
      <c r="K154" s="188"/>
      <c r="L154" s="172">
        <f t="shared" si="35"/>
        <v>583.6</v>
      </c>
      <c r="M154" s="172">
        <f t="shared" si="35"/>
        <v>0</v>
      </c>
      <c r="N154" s="172">
        <f t="shared" si="35"/>
        <v>583.6</v>
      </c>
      <c r="O154" s="178"/>
      <c r="P154" s="92"/>
    </row>
    <row r="155" spans="1:17" ht="18.75" x14ac:dyDescent="0.2">
      <c r="A155" s="42"/>
      <c r="B155" s="202" t="s">
        <v>482</v>
      </c>
      <c r="C155" s="169" t="s">
        <v>481</v>
      </c>
      <c r="D155" s="170"/>
      <c r="E155" s="171"/>
      <c r="F155" s="172"/>
      <c r="G155" s="172"/>
      <c r="H155" s="172"/>
      <c r="I155" s="188">
        <f t="shared" ref="I155:N155" si="36">I156</f>
        <v>0</v>
      </c>
      <c r="J155" s="188">
        <f t="shared" si="36"/>
        <v>3070</v>
      </c>
      <c r="K155" s="188">
        <f t="shared" si="36"/>
        <v>3070</v>
      </c>
      <c r="L155" s="188">
        <f t="shared" si="36"/>
        <v>0</v>
      </c>
      <c r="M155" s="188">
        <f t="shared" si="36"/>
        <v>3070</v>
      </c>
      <c r="N155" s="188">
        <f t="shared" si="36"/>
        <v>3070</v>
      </c>
      <c r="O155" s="178"/>
      <c r="P155" s="92"/>
    </row>
    <row r="156" spans="1:17" ht="31.5" x14ac:dyDescent="0.2">
      <c r="A156" s="42"/>
      <c r="B156" s="197" t="s">
        <v>35</v>
      </c>
      <c r="C156" s="169" t="s">
        <v>481</v>
      </c>
      <c r="D156" s="170" t="s">
        <v>36</v>
      </c>
      <c r="E156" s="171"/>
      <c r="F156" s="172"/>
      <c r="G156" s="172"/>
      <c r="H156" s="172"/>
      <c r="I156" s="188"/>
      <c r="J156" s="189">
        <v>3070</v>
      </c>
      <c r="K156" s="188">
        <f>SUM(I156:J156)</f>
        <v>3070</v>
      </c>
      <c r="L156" s="172">
        <f>F156+I156</f>
        <v>0</v>
      </c>
      <c r="M156" s="172">
        <f>G156+J156</f>
        <v>3070</v>
      </c>
      <c r="N156" s="172">
        <f>H156+K156</f>
        <v>3070</v>
      </c>
      <c r="O156" s="178"/>
      <c r="P156" s="92"/>
    </row>
    <row r="157" spans="1:17" ht="31.5" x14ac:dyDescent="0.2">
      <c r="A157" s="42"/>
      <c r="B157" s="168" t="s">
        <v>191</v>
      </c>
      <c r="C157" s="169" t="s">
        <v>192</v>
      </c>
      <c r="D157" s="170" t="s">
        <v>26</v>
      </c>
      <c r="E157" s="171"/>
      <c r="F157" s="172">
        <f>F158</f>
        <v>3252.4</v>
      </c>
      <c r="G157" s="172">
        <f>G158</f>
        <v>1000</v>
      </c>
      <c r="H157" s="172">
        <f>H158</f>
        <v>4252.3999999999996</v>
      </c>
      <c r="I157" s="188">
        <f>I158</f>
        <v>0</v>
      </c>
      <c r="J157" s="189"/>
      <c r="K157" s="188">
        <f>K158</f>
        <v>0</v>
      </c>
      <c r="L157" s="172">
        <f>L158</f>
        <v>3252.4</v>
      </c>
      <c r="M157" s="172">
        <f>M158</f>
        <v>1000</v>
      </c>
      <c r="N157" s="172">
        <f>N158</f>
        <v>4252.3999999999996</v>
      </c>
      <c r="O157" s="178"/>
      <c r="P157" s="92"/>
    </row>
    <row r="158" spans="1:17" ht="31.5" x14ac:dyDescent="0.2">
      <c r="A158" s="42"/>
      <c r="B158" s="168" t="s">
        <v>35</v>
      </c>
      <c r="C158" s="169" t="s">
        <v>192</v>
      </c>
      <c r="D158" s="170" t="s">
        <v>36</v>
      </c>
      <c r="E158" s="171"/>
      <c r="F158" s="172">
        <v>3252.4</v>
      </c>
      <c r="G158" s="172">
        <v>1000</v>
      </c>
      <c r="H158" s="172">
        <f>SUM(F158:G158)</f>
        <v>4252.3999999999996</v>
      </c>
      <c r="I158" s="188">
        <v>0</v>
      </c>
      <c r="J158" s="189"/>
      <c r="K158" s="188">
        <v>0</v>
      </c>
      <c r="L158" s="172">
        <f>SUM(F158)</f>
        <v>3252.4</v>
      </c>
      <c r="M158" s="172">
        <f>SUM(G158)</f>
        <v>1000</v>
      </c>
      <c r="N158" s="172">
        <f>SUM(H158)</f>
        <v>4252.3999999999996</v>
      </c>
      <c r="O158" s="178"/>
      <c r="P158" s="92"/>
    </row>
    <row r="159" spans="1:17" ht="34.9" customHeight="1" x14ac:dyDescent="0.2">
      <c r="A159" s="42"/>
      <c r="B159" s="168" t="s">
        <v>193</v>
      </c>
      <c r="C159" s="169" t="s">
        <v>194</v>
      </c>
      <c r="D159" s="170" t="s">
        <v>26</v>
      </c>
      <c r="E159" s="171"/>
      <c r="F159" s="172">
        <f>F160</f>
        <v>12536.6</v>
      </c>
      <c r="G159" s="172">
        <f>G160</f>
        <v>-6225.4</v>
      </c>
      <c r="H159" s="172">
        <f>H160</f>
        <v>6311.2000000000007</v>
      </c>
      <c r="I159" s="188">
        <f>I160</f>
        <v>0</v>
      </c>
      <c r="J159" s="189"/>
      <c r="K159" s="188">
        <f>K160</f>
        <v>0</v>
      </c>
      <c r="L159" s="172">
        <f>L160</f>
        <v>12536.6</v>
      </c>
      <c r="M159" s="172">
        <f>M160</f>
        <v>-6225.4</v>
      </c>
      <c r="N159" s="172">
        <f>N160</f>
        <v>6311.2000000000007</v>
      </c>
      <c r="O159" s="178"/>
      <c r="P159" s="92"/>
    </row>
    <row r="160" spans="1:17" ht="30.75" customHeight="1" x14ac:dyDescent="0.2">
      <c r="A160" s="42"/>
      <c r="B160" s="168" t="s">
        <v>35</v>
      </c>
      <c r="C160" s="169" t="s">
        <v>194</v>
      </c>
      <c r="D160" s="170" t="s">
        <v>36</v>
      </c>
      <c r="E160" s="171"/>
      <c r="F160" s="172">
        <v>12536.6</v>
      </c>
      <c r="G160" s="172">
        <f>500-4230-2495.4</f>
        <v>-6225.4</v>
      </c>
      <c r="H160" s="172">
        <f>SUM(F160)+G160</f>
        <v>6311.2000000000007</v>
      </c>
      <c r="I160" s="188">
        <v>0</v>
      </c>
      <c r="J160" s="189"/>
      <c r="K160" s="188">
        <v>0</v>
      </c>
      <c r="L160" s="172">
        <f>SUM(F160)</f>
        <v>12536.6</v>
      </c>
      <c r="M160" s="172">
        <f>SUM(G160)</f>
        <v>-6225.4</v>
      </c>
      <c r="N160" s="172">
        <f>SUM(H160)</f>
        <v>6311.2000000000007</v>
      </c>
      <c r="O160" s="178"/>
      <c r="P160" s="92"/>
    </row>
    <row r="161" spans="1:16" ht="18.75" hidden="1" x14ac:dyDescent="0.2">
      <c r="A161" s="42"/>
      <c r="B161" s="168"/>
      <c r="C161" s="169"/>
      <c r="D161" s="170"/>
      <c r="E161" s="171"/>
      <c r="F161" s="172"/>
      <c r="G161" s="172"/>
      <c r="H161" s="172"/>
      <c r="I161" s="188"/>
      <c r="J161" s="189"/>
      <c r="K161" s="189"/>
      <c r="L161" s="172"/>
      <c r="M161" s="172">
        <f t="shared" ref="M161:N164" si="37">SUM(J161)</f>
        <v>0</v>
      </c>
      <c r="N161" s="172">
        <f t="shared" si="37"/>
        <v>0</v>
      </c>
      <c r="O161" s="178"/>
      <c r="P161" s="92"/>
    </row>
    <row r="162" spans="1:16" ht="31.5" hidden="1" x14ac:dyDescent="0.2">
      <c r="A162" s="42"/>
      <c r="B162" s="168" t="s">
        <v>35</v>
      </c>
      <c r="C162" s="169"/>
      <c r="D162" s="170" t="s">
        <v>36</v>
      </c>
      <c r="E162" s="171"/>
      <c r="F162" s="172"/>
      <c r="G162" s="172"/>
      <c r="H162" s="172"/>
      <c r="I162" s="188"/>
      <c r="J162" s="189"/>
      <c r="K162" s="188">
        <f>SUM(J162)</f>
        <v>0</v>
      </c>
      <c r="L162" s="172"/>
      <c r="M162" s="172">
        <f t="shared" si="37"/>
        <v>0</v>
      </c>
      <c r="N162" s="172">
        <f t="shared" si="37"/>
        <v>0</v>
      </c>
      <c r="O162" s="178"/>
      <c r="P162" s="92"/>
    </row>
    <row r="163" spans="1:16" ht="18.75" hidden="1" x14ac:dyDescent="0.2">
      <c r="A163" s="42"/>
      <c r="B163" s="168"/>
      <c r="C163" s="169"/>
      <c r="D163" s="170"/>
      <c r="E163" s="171"/>
      <c r="F163" s="172"/>
      <c r="G163" s="172"/>
      <c r="H163" s="172"/>
      <c r="I163" s="188"/>
      <c r="J163" s="189"/>
      <c r="K163" s="189"/>
      <c r="L163" s="172"/>
      <c r="M163" s="172">
        <f t="shared" si="37"/>
        <v>0</v>
      </c>
      <c r="N163" s="172">
        <f t="shared" si="37"/>
        <v>0</v>
      </c>
      <c r="O163" s="178"/>
      <c r="P163" s="92"/>
    </row>
    <row r="164" spans="1:16" ht="31.5" hidden="1" x14ac:dyDescent="0.2">
      <c r="A164" s="42"/>
      <c r="B164" s="168" t="s">
        <v>35</v>
      </c>
      <c r="C164" s="169"/>
      <c r="D164" s="170" t="s">
        <v>36</v>
      </c>
      <c r="E164" s="171"/>
      <c r="F164" s="172"/>
      <c r="G164" s="172"/>
      <c r="H164" s="172"/>
      <c r="I164" s="188"/>
      <c r="J164" s="189"/>
      <c r="K164" s="189"/>
      <c r="L164" s="172"/>
      <c r="M164" s="172">
        <f t="shared" si="37"/>
        <v>0</v>
      </c>
      <c r="N164" s="172">
        <f t="shared" si="37"/>
        <v>0</v>
      </c>
      <c r="O164" s="178"/>
      <c r="P164" s="92"/>
    </row>
    <row r="165" spans="1:16" ht="52.15" customHeight="1" x14ac:dyDescent="0.2">
      <c r="A165" s="42"/>
      <c r="B165" s="168" t="s">
        <v>477</v>
      </c>
      <c r="C165" s="169" t="s">
        <v>474</v>
      </c>
      <c r="D165" s="170"/>
      <c r="E165" s="171"/>
      <c r="F165" s="172"/>
      <c r="G165" s="172">
        <v>2495.4</v>
      </c>
      <c r="H165" s="172">
        <v>2495.4</v>
      </c>
      <c r="I165" s="188"/>
      <c r="J165" s="189">
        <f>SUM(J166)</f>
        <v>5</v>
      </c>
      <c r="K165" s="189">
        <f>SUM(K166)</f>
        <v>5</v>
      </c>
      <c r="L165" s="172"/>
      <c r="M165" s="172">
        <f>SUM(J165)+G165</f>
        <v>2500.4</v>
      </c>
      <c r="N165" s="172">
        <f>SUM(K165)+H165</f>
        <v>2500.4</v>
      </c>
      <c r="O165" s="178"/>
      <c r="P165" s="92"/>
    </row>
    <row r="166" spans="1:16" ht="31.5" x14ac:dyDescent="0.2">
      <c r="A166" s="42"/>
      <c r="B166" s="168" t="s">
        <v>35</v>
      </c>
      <c r="C166" s="169" t="s">
        <v>474</v>
      </c>
      <c r="D166" s="170" t="s">
        <v>36</v>
      </c>
      <c r="E166" s="171"/>
      <c r="F166" s="172"/>
      <c r="G166" s="172">
        <v>2495.4</v>
      </c>
      <c r="H166" s="172">
        <v>2495.4</v>
      </c>
      <c r="I166" s="188"/>
      <c r="J166" s="189">
        <v>5</v>
      </c>
      <c r="K166" s="189">
        <f>SUM(J166)</f>
        <v>5</v>
      </c>
      <c r="L166" s="172"/>
      <c r="M166" s="172">
        <f>SUM(J166)+G166</f>
        <v>2500.4</v>
      </c>
      <c r="N166" s="172">
        <f>SUM(K166)+H166</f>
        <v>2500.4</v>
      </c>
      <c r="O166" s="178"/>
      <c r="P166" s="92"/>
    </row>
    <row r="167" spans="1:16" ht="18.75" x14ac:dyDescent="0.2">
      <c r="A167" s="42"/>
      <c r="B167" s="168" t="s">
        <v>476</v>
      </c>
      <c r="C167" s="169" t="s">
        <v>475</v>
      </c>
      <c r="D167" s="170"/>
      <c r="E167" s="171"/>
      <c r="F167" s="172"/>
      <c r="G167" s="172"/>
      <c r="H167" s="172">
        <f>SUM(G167)</f>
        <v>0</v>
      </c>
      <c r="I167" s="188"/>
      <c r="J167" s="189">
        <v>4251.8</v>
      </c>
      <c r="K167" s="189">
        <v>4251.8</v>
      </c>
      <c r="L167" s="172"/>
      <c r="M167" s="172">
        <f>SUM(J167)+H167</f>
        <v>4251.8</v>
      </c>
      <c r="N167" s="172">
        <f>SUM(K167)+I167+H167</f>
        <v>4251.8</v>
      </c>
      <c r="O167" s="178"/>
      <c r="P167" s="92"/>
    </row>
    <row r="168" spans="1:16" ht="31.5" x14ac:dyDescent="0.2">
      <c r="A168" s="42"/>
      <c r="B168" s="168" t="s">
        <v>35</v>
      </c>
      <c r="C168" s="169" t="s">
        <v>475</v>
      </c>
      <c r="D168" s="170" t="s">
        <v>36</v>
      </c>
      <c r="E168" s="171"/>
      <c r="F168" s="172"/>
      <c r="G168" s="172"/>
      <c r="H168" s="172">
        <f>SUM(G168)</f>
        <v>0</v>
      </c>
      <c r="I168" s="188"/>
      <c r="J168" s="189">
        <v>4251.8</v>
      </c>
      <c r="K168" s="189">
        <f>SUM(J168)</f>
        <v>4251.8</v>
      </c>
      <c r="L168" s="172"/>
      <c r="M168" s="172">
        <f>SUM(J168)+H168</f>
        <v>4251.8</v>
      </c>
      <c r="N168" s="172">
        <f>SUM(K168)+I168+H168</f>
        <v>4251.8</v>
      </c>
      <c r="O168" s="178"/>
      <c r="P168" s="92"/>
    </row>
    <row r="169" spans="1:16" ht="96" customHeight="1" x14ac:dyDescent="0.2">
      <c r="A169" s="42"/>
      <c r="B169" s="168" t="s">
        <v>453</v>
      </c>
      <c r="C169" s="169" t="s">
        <v>452</v>
      </c>
      <c r="D169" s="170"/>
      <c r="E169" s="171"/>
      <c r="F169" s="172">
        <f>SUM(F170)</f>
        <v>66.400000000000006</v>
      </c>
      <c r="G169" s="172">
        <f>SUM(G170)</f>
        <v>0</v>
      </c>
      <c r="H169" s="172">
        <f>SUM(F169)</f>
        <v>66.400000000000006</v>
      </c>
      <c r="I169" s="188">
        <f>SUM(I170)</f>
        <v>1260</v>
      </c>
      <c r="J169" s="189">
        <f>SUM(J170)</f>
        <v>0</v>
      </c>
      <c r="K169" s="188">
        <f>SUM(I169)</f>
        <v>1260</v>
      </c>
      <c r="L169" s="172">
        <f>SUM(F169+I169)</f>
        <v>1326.4</v>
      </c>
      <c r="M169" s="172">
        <f>SUM(J169)+G169</f>
        <v>0</v>
      </c>
      <c r="N169" s="172">
        <f>SUM(K169)+H169</f>
        <v>1326.4</v>
      </c>
      <c r="O169" s="178"/>
      <c r="P169" s="92"/>
    </row>
    <row r="170" spans="1:16" ht="35.450000000000003" customHeight="1" x14ac:dyDescent="0.2">
      <c r="A170" s="42"/>
      <c r="B170" s="168" t="s">
        <v>35</v>
      </c>
      <c r="C170" s="169" t="s">
        <v>452</v>
      </c>
      <c r="D170" s="170" t="s">
        <v>36</v>
      </c>
      <c r="E170" s="171"/>
      <c r="F170" s="172">
        <v>66.400000000000006</v>
      </c>
      <c r="G170" s="172"/>
      <c r="H170" s="172">
        <f>SUM(F170)</f>
        <v>66.400000000000006</v>
      </c>
      <c r="I170" s="188">
        <v>1260</v>
      </c>
      <c r="J170" s="189"/>
      <c r="K170" s="188">
        <f>SUM(I170)</f>
        <v>1260</v>
      </c>
      <c r="L170" s="172">
        <f>SUM(F170+I170)</f>
        <v>1326.4</v>
      </c>
      <c r="M170" s="172">
        <f>SUM(J170)+G170</f>
        <v>0</v>
      </c>
      <c r="N170" s="172">
        <f>SUM(K170)+H170</f>
        <v>1326.4</v>
      </c>
      <c r="O170" s="178"/>
      <c r="P170" s="92"/>
    </row>
    <row r="171" spans="1:16" ht="18.75" hidden="1" x14ac:dyDescent="0.2">
      <c r="A171" s="42"/>
      <c r="B171" s="168"/>
      <c r="C171" s="169" t="s">
        <v>317</v>
      </c>
      <c r="D171" s="170"/>
      <c r="E171" s="171"/>
      <c r="F171" s="172"/>
      <c r="G171" s="172"/>
      <c r="H171" s="172"/>
      <c r="I171" s="188"/>
      <c r="J171" s="189"/>
      <c r="K171" s="188"/>
      <c r="L171" s="172"/>
      <c r="M171" s="172"/>
      <c r="N171" s="172"/>
      <c r="O171" s="178"/>
      <c r="P171" s="92"/>
    </row>
    <row r="172" spans="1:16" ht="18.75" hidden="1" x14ac:dyDescent="0.2">
      <c r="A172" s="42"/>
      <c r="B172" s="168"/>
      <c r="C172" s="169" t="s">
        <v>319</v>
      </c>
      <c r="D172" s="170"/>
      <c r="E172" s="171"/>
      <c r="F172" s="172"/>
      <c r="G172" s="172"/>
      <c r="H172" s="172"/>
      <c r="I172" s="188"/>
      <c r="J172" s="189"/>
      <c r="K172" s="188"/>
      <c r="L172" s="172"/>
      <c r="M172" s="172"/>
      <c r="N172" s="172"/>
      <c r="O172" s="178"/>
      <c r="P172" s="92"/>
    </row>
    <row r="173" spans="1:16" ht="18.75" hidden="1" x14ac:dyDescent="0.2">
      <c r="A173" s="42"/>
      <c r="B173" s="168"/>
      <c r="C173" s="169" t="s">
        <v>466</v>
      </c>
      <c r="D173" s="170"/>
      <c r="E173" s="171"/>
      <c r="F173" s="172"/>
      <c r="G173" s="172"/>
      <c r="H173" s="172"/>
      <c r="I173" s="188"/>
      <c r="J173" s="189"/>
      <c r="K173" s="188"/>
      <c r="L173" s="172"/>
      <c r="M173" s="172"/>
      <c r="N173" s="172"/>
      <c r="O173" s="178"/>
      <c r="P173" s="92"/>
    </row>
    <row r="174" spans="1:16" ht="31.5" hidden="1" x14ac:dyDescent="0.2">
      <c r="A174" s="42"/>
      <c r="B174" s="168" t="s">
        <v>35</v>
      </c>
      <c r="C174" s="169" t="s">
        <v>467</v>
      </c>
      <c r="D174" s="170" t="s">
        <v>36</v>
      </c>
      <c r="E174" s="171"/>
      <c r="F174" s="172"/>
      <c r="G174" s="172"/>
      <c r="H174" s="172"/>
      <c r="I174" s="188"/>
      <c r="J174" s="189"/>
      <c r="K174" s="188"/>
      <c r="L174" s="172"/>
      <c r="M174" s="172"/>
      <c r="N174" s="172"/>
      <c r="O174" s="178"/>
      <c r="P174" s="92"/>
    </row>
    <row r="175" spans="1:16" ht="21.6" customHeight="1" x14ac:dyDescent="0.2">
      <c r="A175" s="49"/>
      <c r="B175" s="190" t="s">
        <v>195</v>
      </c>
      <c r="C175" s="191" t="s">
        <v>196</v>
      </c>
      <c r="D175" s="192" t="s">
        <v>26</v>
      </c>
      <c r="E175" s="193"/>
      <c r="F175" s="194">
        <f t="shared" ref="F175:N175" si="38">F176</f>
        <v>8372.5</v>
      </c>
      <c r="G175" s="194">
        <f t="shared" si="38"/>
        <v>-350.4</v>
      </c>
      <c r="H175" s="194">
        <f t="shared" si="38"/>
        <v>8022.1</v>
      </c>
      <c r="I175" s="195">
        <f t="shared" si="38"/>
        <v>0</v>
      </c>
      <c r="J175" s="194">
        <f t="shared" si="38"/>
        <v>0</v>
      </c>
      <c r="K175" s="195">
        <f t="shared" si="38"/>
        <v>0</v>
      </c>
      <c r="L175" s="194">
        <f t="shared" si="38"/>
        <v>8372.5</v>
      </c>
      <c r="M175" s="194">
        <f t="shared" si="38"/>
        <v>-350.4</v>
      </c>
      <c r="N175" s="194">
        <f t="shared" si="38"/>
        <v>8022.1</v>
      </c>
      <c r="O175" s="178"/>
      <c r="P175" s="92"/>
    </row>
    <row r="176" spans="1:16" ht="31.5" x14ac:dyDescent="0.2">
      <c r="A176" s="42"/>
      <c r="B176" s="168" t="s">
        <v>197</v>
      </c>
      <c r="C176" s="169" t="s">
        <v>198</v>
      </c>
      <c r="D176" s="170" t="s">
        <v>26</v>
      </c>
      <c r="E176" s="171"/>
      <c r="F176" s="172">
        <f>F177+F179</f>
        <v>8372.5</v>
      </c>
      <c r="G176" s="172">
        <f>G177+G179</f>
        <v>-350.4</v>
      </c>
      <c r="H176" s="172">
        <f>H177+H179</f>
        <v>8022.1</v>
      </c>
      <c r="I176" s="188">
        <f>I177+I179</f>
        <v>0</v>
      </c>
      <c r="J176" s="189"/>
      <c r="K176" s="188">
        <f>K177+K179</f>
        <v>0</v>
      </c>
      <c r="L176" s="172">
        <f>L177+L179</f>
        <v>8372.5</v>
      </c>
      <c r="M176" s="172">
        <f>M177+M179</f>
        <v>-350.4</v>
      </c>
      <c r="N176" s="172">
        <f>N177+N179</f>
        <v>8022.1</v>
      </c>
      <c r="O176" s="178"/>
      <c r="P176" s="92"/>
    </row>
    <row r="177" spans="1:16" ht="31.9" customHeight="1" x14ac:dyDescent="0.2">
      <c r="A177" s="42"/>
      <c r="B177" s="168" t="s">
        <v>199</v>
      </c>
      <c r="C177" s="169" t="s">
        <v>200</v>
      </c>
      <c r="D177" s="170" t="s">
        <v>26</v>
      </c>
      <c r="E177" s="171"/>
      <c r="F177" s="172">
        <f>F178</f>
        <v>2400</v>
      </c>
      <c r="G177" s="172">
        <f>G178</f>
        <v>0</v>
      </c>
      <c r="H177" s="172">
        <f>H178</f>
        <v>2400</v>
      </c>
      <c r="I177" s="188">
        <f>I178</f>
        <v>0</v>
      </c>
      <c r="J177" s="189"/>
      <c r="K177" s="188">
        <f>K178</f>
        <v>0</v>
      </c>
      <c r="L177" s="172">
        <f>L178</f>
        <v>2400</v>
      </c>
      <c r="M177" s="172">
        <f>M178</f>
        <v>0</v>
      </c>
      <c r="N177" s="172">
        <f>N178</f>
        <v>2400</v>
      </c>
      <c r="O177" s="178"/>
      <c r="P177" s="92"/>
    </row>
    <row r="178" spans="1:16" ht="31.5" x14ac:dyDescent="0.2">
      <c r="A178" s="42"/>
      <c r="B178" s="168" t="s">
        <v>35</v>
      </c>
      <c r="C178" s="169" t="s">
        <v>200</v>
      </c>
      <c r="D178" s="170" t="s">
        <v>36</v>
      </c>
      <c r="E178" s="171"/>
      <c r="F178" s="172">
        <v>2400</v>
      </c>
      <c r="G178" s="172"/>
      <c r="H178" s="172">
        <v>2400</v>
      </c>
      <c r="I178" s="188">
        <v>0</v>
      </c>
      <c r="J178" s="189"/>
      <c r="K178" s="188">
        <v>0</v>
      </c>
      <c r="L178" s="172">
        <v>2400</v>
      </c>
      <c r="M178" s="172"/>
      <c r="N178" s="172">
        <v>2400</v>
      </c>
      <c r="O178" s="178"/>
      <c r="P178" s="92"/>
    </row>
    <row r="179" spans="1:16" ht="31.5" x14ac:dyDescent="0.2">
      <c r="A179" s="42"/>
      <c r="B179" s="168" t="s">
        <v>201</v>
      </c>
      <c r="C179" s="169" t="s">
        <v>202</v>
      </c>
      <c r="D179" s="170" t="s">
        <v>26</v>
      </c>
      <c r="E179" s="171"/>
      <c r="F179" s="172">
        <f>F180</f>
        <v>5972.5</v>
      </c>
      <c r="G179" s="172">
        <f>G180</f>
        <v>-350.4</v>
      </c>
      <c r="H179" s="172">
        <f>H180</f>
        <v>5622.1</v>
      </c>
      <c r="I179" s="188">
        <f>I180</f>
        <v>0</v>
      </c>
      <c r="J179" s="189"/>
      <c r="K179" s="188">
        <f>K180</f>
        <v>0</v>
      </c>
      <c r="L179" s="172">
        <f>L180</f>
        <v>5972.5</v>
      </c>
      <c r="M179" s="172">
        <f>M180</f>
        <v>-350.4</v>
      </c>
      <c r="N179" s="172">
        <f>N180</f>
        <v>5622.1</v>
      </c>
      <c r="O179" s="178"/>
      <c r="P179" s="92"/>
    </row>
    <row r="180" spans="1:16" ht="31.5" x14ac:dyDescent="0.2">
      <c r="A180" s="42"/>
      <c r="B180" s="168" t="s">
        <v>35</v>
      </c>
      <c r="C180" s="169" t="s">
        <v>202</v>
      </c>
      <c r="D180" s="170" t="s">
        <v>36</v>
      </c>
      <c r="E180" s="171"/>
      <c r="F180" s="172">
        <v>5972.5</v>
      </c>
      <c r="G180" s="172">
        <f>-749.9+399.5</f>
        <v>-350.4</v>
      </c>
      <c r="H180" s="172">
        <f>SUM(F180)+G180</f>
        <v>5622.1</v>
      </c>
      <c r="I180" s="188">
        <v>0</v>
      </c>
      <c r="J180" s="189"/>
      <c r="K180" s="188">
        <v>0</v>
      </c>
      <c r="L180" s="172">
        <f>SUM(F180)</f>
        <v>5972.5</v>
      </c>
      <c r="M180" s="172">
        <f>SUM(G180)</f>
        <v>-350.4</v>
      </c>
      <c r="N180" s="172">
        <f>SUM(H180)</f>
        <v>5622.1</v>
      </c>
      <c r="O180" s="178"/>
      <c r="P180" s="92"/>
    </row>
    <row r="181" spans="1:16" ht="18.75" x14ac:dyDescent="0.2">
      <c r="A181" s="49"/>
      <c r="B181" s="190" t="s">
        <v>203</v>
      </c>
      <c r="C181" s="191" t="s">
        <v>204</v>
      </c>
      <c r="D181" s="192" t="s">
        <v>26</v>
      </c>
      <c r="E181" s="193"/>
      <c r="F181" s="194">
        <f>F182+F185+F195+F192</f>
        <v>145824.4</v>
      </c>
      <c r="G181" s="194">
        <f>G182+G185+G195+G192</f>
        <v>-9725.9</v>
      </c>
      <c r="H181" s="194">
        <f>H182+H185+H195+H192</f>
        <v>136098.5</v>
      </c>
      <c r="I181" s="195">
        <f>I182+I185</f>
        <v>0</v>
      </c>
      <c r="J181" s="194">
        <f>J182+J185</f>
        <v>0</v>
      </c>
      <c r="K181" s="195">
        <f>K182+K185</f>
        <v>0</v>
      </c>
      <c r="L181" s="194">
        <f>L182+L185+L195+L192</f>
        <v>145824.4</v>
      </c>
      <c r="M181" s="194">
        <f>M182+M185+M195+M192</f>
        <v>-9725.9</v>
      </c>
      <c r="N181" s="194">
        <f>N182+N185+N195+N192</f>
        <v>136098.5</v>
      </c>
      <c r="O181" s="178"/>
      <c r="P181" s="92"/>
    </row>
    <row r="182" spans="1:16" ht="31.5" x14ac:dyDescent="0.2">
      <c r="A182" s="42"/>
      <c r="B182" s="168" t="s">
        <v>205</v>
      </c>
      <c r="C182" s="169" t="s">
        <v>206</v>
      </c>
      <c r="D182" s="170" t="s">
        <v>26</v>
      </c>
      <c r="E182" s="171"/>
      <c r="F182" s="172">
        <f t="shared" ref="F182:N183" si="39">F183</f>
        <v>8699.1</v>
      </c>
      <c r="G182" s="172">
        <f t="shared" si="39"/>
        <v>0</v>
      </c>
      <c r="H182" s="172">
        <f t="shared" si="39"/>
        <v>8699.1</v>
      </c>
      <c r="I182" s="188">
        <f t="shared" si="39"/>
        <v>0</v>
      </c>
      <c r="J182" s="189"/>
      <c r="K182" s="188">
        <f t="shared" si="39"/>
        <v>0</v>
      </c>
      <c r="L182" s="172">
        <f t="shared" si="39"/>
        <v>8699.1</v>
      </c>
      <c r="M182" s="172">
        <f t="shared" si="39"/>
        <v>0</v>
      </c>
      <c r="N182" s="172">
        <f t="shared" si="39"/>
        <v>8699.1</v>
      </c>
      <c r="O182" s="178"/>
      <c r="P182" s="92"/>
    </row>
    <row r="183" spans="1:16" ht="31.5" x14ac:dyDescent="0.2">
      <c r="A183" s="42"/>
      <c r="B183" s="168" t="s">
        <v>39</v>
      </c>
      <c r="C183" s="169" t="s">
        <v>207</v>
      </c>
      <c r="D183" s="170" t="s">
        <v>26</v>
      </c>
      <c r="E183" s="171"/>
      <c r="F183" s="172">
        <f t="shared" si="39"/>
        <v>8699.1</v>
      </c>
      <c r="G183" s="172">
        <f t="shared" si="39"/>
        <v>0</v>
      </c>
      <c r="H183" s="172">
        <f t="shared" si="39"/>
        <v>8699.1</v>
      </c>
      <c r="I183" s="188">
        <f t="shared" si="39"/>
        <v>0</v>
      </c>
      <c r="J183" s="189"/>
      <c r="K183" s="188">
        <f t="shared" si="39"/>
        <v>0</v>
      </c>
      <c r="L183" s="172">
        <f t="shared" si="39"/>
        <v>8699.1</v>
      </c>
      <c r="M183" s="172">
        <f t="shared" si="39"/>
        <v>0</v>
      </c>
      <c r="N183" s="172">
        <f t="shared" si="39"/>
        <v>8699.1</v>
      </c>
      <c r="O183" s="178"/>
      <c r="P183" s="92"/>
    </row>
    <row r="184" spans="1:16" ht="31.5" x14ac:dyDescent="0.2">
      <c r="A184" s="42"/>
      <c r="B184" s="168" t="s">
        <v>74</v>
      </c>
      <c r="C184" s="169" t="s">
        <v>207</v>
      </c>
      <c r="D184" s="170" t="s">
        <v>75</v>
      </c>
      <c r="E184" s="171"/>
      <c r="F184" s="172">
        <v>8699.1</v>
      </c>
      <c r="G184" s="172"/>
      <c r="H184" s="172">
        <f>SUM(F184)</f>
        <v>8699.1</v>
      </c>
      <c r="I184" s="188">
        <v>0</v>
      </c>
      <c r="J184" s="189"/>
      <c r="K184" s="188">
        <v>0</v>
      </c>
      <c r="L184" s="172">
        <f>SUM(F184)</f>
        <v>8699.1</v>
      </c>
      <c r="M184" s="172">
        <f>SUM(G184)</f>
        <v>0</v>
      </c>
      <c r="N184" s="172">
        <f>SUM(L184)</f>
        <v>8699.1</v>
      </c>
      <c r="O184" s="178"/>
      <c r="P184" s="92"/>
    </row>
    <row r="185" spans="1:16" ht="36" customHeight="1" x14ac:dyDescent="0.2">
      <c r="A185" s="42"/>
      <c r="B185" s="168" t="s">
        <v>208</v>
      </c>
      <c r="C185" s="169" t="s">
        <v>209</v>
      </c>
      <c r="D185" s="170" t="s">
        <v>26</v>
      </c>
      <c r="E185" s="171"/>
      <c r="F185" s="172">
        <f>F186+F188+F190</f>
        <v>123368.4</v>
      </c>
      <c r="G185" s="172">
        <f>SUM(G190)+G186+G188</f>
        <v>-6135.8</v>
      </c>
      <c r="H185" s="172">
        <f>H186+H188+H190</f>
        <v>117232.59999999999</v>
      </c>
      <c r="I185" s="188">
        <f t="shared" ref="F185:N186" si="40">I186</f>
        <v>0</v>
      </c>
      <c r="J185" s="189"/>
      <c r="K185" s="188">
        <f t="shared" si="40"/>
        <v>0</v>
      </c>
      <c r="L185" s="172">
        <f>L186+L188+L190</f>
        <v>123368.4</v>
      </c>
      <c r="M185" s="172">
        <f>SUM(M190)+M186+M188</f>
        <v>-6135.8</v>
      </c>
      <c r="N185" s="172">
        <f>N186+N188+N190</f>
        <v>117232.59999999999</v>
      </c>
      <c r="O185" s="178"/>
      <c r="P185" s="92"/>
    </row>
    <row r="186" spans="1:16" ht="31.5" x14ac:dyDescent="0.2">
      <c r="A186" s="42"/>
      <c r="B186" s="168" t="s">
        <v>39</v>
      </c>
      <c r="C186" s="169" t="s">
        <v>210</v>
      </c>
      <c r="D186" s="170" t="s">
        <v>26</v>
      </c>
      <c r="E186" s="171"/>
      <c r="F186" s="172">
        <f t="shared" si="40"/>
        <v>120289.4</v>
      </c>
      <c r="G186" s="172">
        <f t="shared" si="40"/>
        <v>-6135.8</v>
      </c>
      <c r="H186" s="172">
        <f t="shared" si="40"/>
        <v>114153.59999999999</v>
      </c>
      <c r="I186" s="188">
        <f t="shared" si="40"/>
        <v>0</v>
      </c>
      <c r="J186" s="189"/>
      <c r="K186" s="188">
        <f t="shared" si="40"/>
        <v>0</v>
      </c>
      <c r="L186" s="172">
        <f t="shared" si="40"/>
        <v>120289.4</v>
      </c>
      <c r="M186" s="172">
        <f t="shared" si="40"/>
        <v>-6135.8</v>
      </c>
      <c r="N186" s="172">
        <f t="shared" si="40"/>
        <v>114153.59999999999</v>
      </c>
      <c r="O186" s="178"/>
      <c r="P186" s="92"/>
    </row>
    <row r="187" spans="1:16" ht="30.75" customHeight="1" x14ac:dyDescent="0.2">
      <c r="A187" s="42"/>
      <c r="B187" s="168" t="s">
        <v>74</v>
      </c>
      <c r="C187" s="169" t="s">
        <v>210</v>
      </c>
      <c r="D187" s="170" t="s">
        <v>75</v>
      </c>
      <c r="E187" s="171"/>
      <c r="F187" s="172">
        <v>120289.4</v>
      </c>
      <c r="G187" s="172">
        <v>-6135.8</v>
      </c>
      <c r="H187" s="172">
        <f>SUM(F187+G187)</f>
        <v>114153.59999999999</v>
      </c>
      <c r="I187" s="188">
        <v>0</v>
      </c>
      <c r="J187" s="189"/>
      <c r="K187" s="188">
        <v>0</v>
      </c>
      <c r="L187" s="172">
        <f>SUM(F186)</f>
        <v>120289.4</v>
      </c>
      <c r="M187" s="172">
        <f>SUM(G187)</f>
        <v>-6135.8</v>
      </c>
      <c r="N187" s="172">
        <f>SUM(H187)</f>
        <v>114153.59999999999</v>
      </c>
      <c r="O187" s="178"/>
      <c r="P187" s="92"/>
    </row>
    <row r="188" spans="1:16" ht="31.5" customHeight="1" x14ac:dyDescent="0.2">
      <c r="A188" s="42"/>
      <c r="B188" s="168" t="s">
        <v>211</v>
      </c>
      <c r="C188" s="169" t="s">
        <v>212</v>
      </c>
      <c r="D188" s="170"/>
      <c r="E188" s="171"/>
      <c r="F188" s="172">
        <v>779</v>
      </c>
      <c r="G188" s="172"/>
      <c r="H188" s="172">
        <f>SUM(F188)</f>
        <v>779</v>
      </c>
      <c r="I188" s="188"/>
      <c r="J188" s="189"/>
      <c r="K188" s="188"/>
      <c r="L188" s="172">
        <f>SUM(F189)</f>
        <v>779</v>
      </c>
      <c r="M188" s="172">
        <f>SUM(G188)</f>
        <v>0</v>
      </c>
      <c r="N188" s="172">
        <f>SUM(L188)</f>
        <v>779</v>
      </c>
      <c r="O188" s="178"/>
      <c r="P188" s="92"/>
    </row>
    <row r="189" spans="1:16" ht="33.75" customHeight="1" x14ac:dyDescent="0.2">
      <c r="A189" s="42"/>
      <c r="B189" s="168" t="s">
        <v>74</v>
      </c>
      <c r="C189" s="169" t="s">
        <v>212</v>
      </c>
      <c r="D189" s="170" t="s">
        <v>75</v>
      </c>
      <c r="E189" s="171"/>
      <c r="F189" s="172">
        <v>779</v>
      </c>
      <c r="G189" s="172"/>
      <c r="H189" s="172">
        <f>SUM(F189)</f>
        <v>779</v>
      </c>
      <c r="I189" s="188"/>
      <c r="J189" s="189"/>
      <c r="K189" s="188"/>
      <c r="L189" s="172">
        <f t="shared" ref="L189:N197" si="41">SUM(F189)</f>
        <v>779</v>
      </c>
      <c r="M189" s="172">
        <f>SUM(G189)</f>
        <v>0</v>
      </c>
      <c r="N189" s="172">
        <f>SUM(L189)</f>
        <v>779</v>
      </c>
      <c r="O189" s="178"/>
      <c r="P189" s="92"/>
    </row>
    <row r="190" spans="1:16" ht="31.5" customHeight="1" x14ac:dyDescent="0.2">
      <c r="A190" s="42"/>
      <c r="B190" s="203" t="s">
        <v>78</v>
      </c>
      <c r="C190" s="169" t="s">
        <v>213</v>
      </c>
      <c r="D190" s="170"/>
      <c r="E190" s="171"/>
      <c r="F190" s="172">
        <v>2300</v>
      </c>
      <c r="G190" s="172">
        <f>SUM(G191)</f>
        <v>0</v>
      </c>
      <c r="H190" s="172">
        <f>SUM(H191)</f>
        <v>2300</v>
      </c>
      <c r="I190" s="188"/>
      <c r="J190" s="189"/>
      <c r="K190" s="188"/>
      <c r="L190" s="172">
        <f t="shared" si="41"/>
        <v>2300</v>
      </c>
      <c r="M190" s="172">
        <f t="shared" si="41"/>
        <v>0</v>
      </c>
      <c r="N190" s="172">
        <f t="shared" si="41"/>
        <v>2300</v>
      </c>
      <c r="O190" s="178"/>
      <c r="P190" s="92"/>
    </row>
    <row r="191" spans="1:16" ht="31.5" customHeight="1" x14ac:dyDescent="0.2">
      <c r="A191" s="42"/>
      <c r="B191" s="168" t="s">
        <v>74</v>
      </c>
      <c r="C191" s="169" t="s">
        <v>213</v>
      </c>
      <c r="D191" s="170" t="s">
        <v>75</v>
      </c>
      <c r="E191" s="171"/>
      <c r="F191" s="172">
        <v>2300</v>
      </c>
      <c r="G191" s="172"/>
      <c r="H191" s="172">
        <f>SUM(F191)</f>
        <v>2300</v>
      </c>
      <c r="I191" s="188"/>
      <c r="J191" s="189"/>
      <c r="K191" s="188"/>
      <c r="L191" s="172">
        <f t="shared" si="41"/>
        <v>2300</v>
      </c>
      <c r="M191" s="172">
        <f t="shared" si="41"/>
        <v>0</v>
      </c>
      <c r="N191" s="172">
        <f t="shared" si="41"/>
        <v>2300</v>
      </c>
      <c r="O191" s="178"/>
      <c r="P191" s="92"/>
    </row>
    <row r="192" spans="1:16" ht="57" customHeight="1" x14ac:dyDescent="0.2">
      <c r="A192" s="42"/>
      <c r="B192" s="198" t="s">
        <v>471</v>
      </c>
      <c r="C192" s="169" t="s">
        <v>469</v>
      </c>
      <c r="D192" s="170"/>
      <c r="E192" s="171"/>
      <c r="F192" s="172">
        <f>SUM(F193)</f>
        <v>2250</v>
      </c>
      <c r="G192" s="172">
        <f>SUM(G193)</f>
        <v>0</v>
      </c>
      <c r="H192" s="172">
        <f>SUM(H193)</f>
        <v>2250</v>
      </c>
      <c r="I192" s="188"/>
      <c r="J192" s="189"/>
      <c r="K192" s="188"/>
      <c r="L192" s="172">
        <f t="shared" si="41"/>
        <v>2250</v>
      </c>
      <c r="M192" s="172">
        <f t="shared" si="41"/>
        <v>0</v>
      </c>
      <c r="N192" s="172">
        <f t="shared" si="41"/>
        <v>2250</v>
      </c>
      <c r="O192" s="178"/>
      <c r="P192" s="92"/>
    </row>
    <row r="193" spans="1:17" ht="52.9" customHeight="1" x14ac:dyDescent="0.2">
      <c r="A193" s="42"/>
      <c r="B193" s="158" t="s">
        <v>480</v>
      </c>
      <c r="C193" s="169" t="s">
        <v>470</v>
      </c>
      <c r="D193" s="170"/>
      <c r="E193" s="171"/>
      <c r="F193" s="172">
        <f>SUM(F194)</f>
        <v>2250</v>
      </c>
      <c r="G193" s="172">
        <f>SUM(G194)</f>
        <v>0</v>
      </c>
      <c r="H193" s="172">
        <f>SUM(F193)</f>
        <v>2250</v>
      </c>
      <c r="I193" s="188"/>
      <c r="J193" s="189"/>
      <c r="K193" s="188"/>
      <c r="L193" s="172">
        <f t="shared" si="41"/>
        <v>2250</v>
      </c>
      <c r="M193" s="172">
        <f t="shared" si="41"/>
        <v>0</v>
      </c>
      <c r="N193" s="172">
        <f t="shared" si="41"/>
        <v>2250</v>
      </c>
      <c r="O193" s="178"/>
      <c r="P193" s="92"/>
    </row>
    <row r="194" spans="1:17" ht="31.5" customHeight="1" x14ac:dyDescent="0.2">
      <c r="A194" s="42"/>
      <c r="B194" s="168" t="s">
        <v>74</v>
      </c>
      <c r="C194" s="169" t="s">
        <v>470</v>
      </c>
      <c r="D194" s="170" t="s">
        <v>42</v>
      </c>
      <c r="E194" s="171"/>
      <c r="F194" s="172">
        <v>2250</v>
      </c>
      <c r="G194" s="172"/>
      <c r="H194" s="172">
        <f>SUM(F194)</f>
        <v>2250</v>
      </c>
      <c r="I194" s="188"/>
      <c r="J194" s="189"/>
      <c r="K194" s="188"/>
      <c r="L194" s="172">
        <f t="shared" si="41"/>
        <v>2250</v>
      </c>
      <c r="M194" s="172">
        <f t="shared" si="41"/>
        <v>0</v>
      </c>
      <c r="N194" s="172">
        <f t="shared" si="41"/>
        <v>2250</v>
      </c>
      <c r="O194" s="178"/>
      <c r="P194" s="92"/>
    </row>
    <row r="195" spans="1:17" ht="49.5" customHeight="1" x14ac:dyDescent="0.2">
      <c r="A195" s="42"/>
      <c r="B195" s="204" t="s">
        <v>214</v>
      </c>
      <c r="C195" s="169" t="s">
        <v>215</v>
      </c>
      <c r="D195" s="170"/>
      <c r="E195" s="171"/>
      <c r="F195" s="172">
        <f>SUM(F196)</f>
        <v>11506.9</v>
      </c>
      <c r="G195" s="172">
        <f>SUM(G196)</f>
        <v>-3590.1</v>
      </c>
      <c r="H195" s="172">
        <f>SUM(F195)+G195</f>
        <v>7916.7999999999993</v>
      </c>
      <c r="I195" s="188"/>
      <c r="J195" s="189"/>
      <c r="K195" s="188"/>
      <c r="L195" s="172">
        <f t="shared" si="41"/>
        <v>11506.9</v>
      </c>
      <c r="M195" s="172">
        <f t="shared" si="41"/>
        <v>-3590.1</v>
      </c>
      <c r="N195" s="172">
        <f t="shared" si="41"/>
        <v>7916.7999999999993</v>
      </c>
      <c r="O195" s="178"/>
      <c r="P195" s="92"/>
    </row>
    <row r="196" spans="1:17" ht="63" x14ac:dyDescent="0.2">
      <c r="A196" s="42"/>
      <c r="B196" s="205" t="s">
        <v>216</v>
      </c>
      <c r="C196" s="169" t="s">
        <v>217</v>
      </c>
      <c r="D196" s="170"/>
      <c r="E196" s="171"/>
      <c r="F196" s="172">
        <v>11506.9</v>
      </c>
      <c r="G196" s="172">
        <f>SUM(G197)</f>
        <v>-3590.1</v>
      </c>
      <c r="H196" s="172">
        <f>SUM(F196)+G196</f>
        <v>7916.7999999999993</v>
      </c>
      <c r="I196" s="188"/>
      <c r="J196" s="189"/>
      <c r="K196" s="188"/>
      <c r="L196" s="172">
        <f t="shared" si="41"/>
        <v>11506.9</v>
      </c>
      <c r="M196" s="172">
        <f t="shared" si="41"/>
        <v>-3590.1</v>
      </c>
      <c r="N196" s="172">
        <f t="shared" si="41"/>
        <v>7916.7999999999993</v>
      </c>
      <c r="O196" s="178"/>
      <c r="P196" s="92"/>
    </row>
    <row r="197" spans="1:17" ht="31.5" x14ac:dyDescent="0.2">
      <c r="A197" s="42"/>
      <c r="B197" s="168" t="s">
        <v>74</v>
      </c>
      <c r="C197" s="169" t="s">
        <v>217</v>
      </c>
      <c r="D197" s="170" t="s">
        <v>42</v>
      </c>
      <c r="E197" s="171"/>
      <c r="F197" s="172">
        <v>11506.9</v>
      </c>
      <c r="G197" s="172">
        <v>-3590.1</v>
      </c>
      <c r="H197" s="172">
        <f>SUM(F197)+G197</f>
        <v>7916.7999999999993</v>
      </c>
      <c r="I197" s="188"/>
      <c r="J197" s="189"/>
      <c r="K197" s="188"/>
      <c r="L197" s="172">
        <f t="shared" si="41"/>
        <v>11506.9</v>
      </c>
      <c r="M197" s="172">
        <f t="shared" si="41"/>
        <v>-3590.1</v>
      </c>
      <c r="N197" s="172">
        <f t="shared" si="41"/>
        <v>7916.7999999999993</v>
      </c>
      <c r="O197" s="178"/>
      <c r="P197" s="92"/>
    </row>
    <row r="198" spans="1:17" ht="29.25" customHeight="1" x14ac:dyDescent="0.2">
      <c r="A198" s="19" t="s">
        <v>218</v>
      </c>
      <c r="B198" s="182" t="s">
        <v>219</v>
      </c>
      <c r="C198" s="183" t="s">
        <v>220</v>
      </c>
      <c r="D198" s="184" t="s">
        <v>26</v>
      </c>
      <c r="E198" s="185"/>
      <c r="F198" s="186">
        <f>F209+F214+F223+F227+F203</f>
        <v>19933.7</v>
      </c>
      <c r="G198" s="186">
        <f>SUM(G204)+G223+G214+G227</f>
        <v>293</v>
      </c>
      <c r="H198" s="186">
        <f>H209+H214+H223+H227+H203+H199</f>
        <v>20226.7</v>
      </c>
      <c r="I198" s="187">
        <f>I209+I214+I223+I227+I203</f>
        <v>151494</v>
      </c>
      <c r="J198" s="186">
        <f>J209+J214+J223+J227+J203</f>
        <v>0</v>
      </c>
      <c r="K198" s="187">
        <f>K209+K214+K223+K227+K203</f>
        <v>151494</v>
      </c>
      <c r="L198" s="186">
        <f>SUM(F198+I198)</f>
        <v>171427.7</v>
      </c>
      <c r="M198" s="186">
        <f>SUM(G198+J198)</f>
        <v>293</v>
      </c>
      <c r="N198" s="186">
        <f>SUM(H198+K198)</f>
        <v>171720.7</v>
      </c>
      <c r="O198" s="178"/>
      <c r="P198" s="92"/>
      <c r="Q198" s="25"/>
    </row>
    <row r="199" spans="1:17" ht="18.75" hidden="1" x14ac:dyDescent="0.2">
      <c r="A199" s="19"/>
      <c r="B199" s="190" t="s">
        <v>177</v>
      </c>
      <c r="C199" s="169"/>
      <c r="D199" s="184"/>
      <c r="E199" s="185"/>
      <c r="F199" s="186"/>
      <c r="G199" s="172"/>
      <c r="H199" s="186">
        <f>SUM(G199)</f>
        <v>0</v>
      </c>
      <c r="I199" s="187"/>
      <c r="J199" s="172">
        <f>SUM(J200)</f>
        <v>0</v>
      </c>
      <c r="K199" s="187">
        <f t="shared" ref="K199:K206" si="42">SUM(J199)</f>
        <v>0</v>
      </c>
      <c r="L199" s="186"/>
      <c r="M199" s="186">
        <f>SUM(G199+J199)</f>
        <v>0</v>
      </c>
      <c r="N199" s="186">
        <f>SUM(H199+K199)</f>
        <v>0</v>
      </c>
      <c r="O199" s="178"/>
      <c r="P199" s="92"/>
      <c r="Q199" s="25"/>
    </row>
    <row r="200" spans="1:17" ht="47.25" hidden="1" x14ac:dyDescent="0.2">
      <c r="A200" s="19"/>
      <c r="B200" s="168" t="s">
        <v>179</v>
      </c>
      <c r="C200" s="169" t="s">
        <v>451</v>
      </c>
      <c r="D200" s="184" t="s">
        <v>26</v>
      </c>
      <c r="E200" s="185"/>
      <c r="F200" s="186"/>
      <c r="G200" s="172"/>
      <c r="H200" s="186">
        <f>SUM(G200)</f>
        <v>0</v>
      </c>
      <c r="I200" s="187"/>
      <c r="J200" s="172">
        <f>SUM(J201)</f>
        <v>0</v>
      </c>
      <c r="K200" s="187">
        <f t="shared" si="42"/>
        <v>0</v>
      </c>
      <c r="L200" s="186"/>
      <c r="M200" s="186">
        <f>SUM(J200)+G200</f>
        <v>0</v>
      </c>
      <c r="N200" s="186">
        <f>SUM(M200)</f>
        <v>0</v>
      </c>
      <c r="O200" s="178"/>
      <c r="P200" s="92"/>
      <c r="Q200" s="25"/>
    </row>
    <row r="201" spans="1:17" ht="31.5" hidden="1" x14ac:dyDescent="0.2">
      <c r="A201" s="19"/>
      <c r="B201" s="168" t="s">
        <v>193</v>
      </c>
      <c r="C201" s="169" t="s">
        <v>451</v>
      </c>
      <c r="D201" s="184"/>
      <c r="E201" s="185"/>
      <c r="F201" s="169"/>
      <c r="G201" s="172"/>
      <c r="H201" s="186">
        <f>SUM(G201)</f>
        <v>0</v>
      </c>
      <c r="I201" s="187"/>
      <c r="J201" s="172">
        <f>SUM(J202)</f>
        <v>0</v>
      </c>
      <c r="K201" s="187">
        <f t="shared" si="42"/>
        <v>0</v>
      </c>
      <c r="L201" s="186"/>
      <c r="M201" s="186">
        <f>SUM(J201)+G201</f>
        <v>0</v>
      </c>
      <c r="N201" s="186">
        <f>SUM(M201)</f>
        <v>0</v>
      </c>
      <c r="O201" s="178"/>
      <c r="P201" s="92"/>
      <c r="Q201" s="25"/>
    </row>
    <row r="202" spans="1:17" ht="31.5" hidden="1" x14ac:dyDescent="0.2">
      <c r="A202" s="19"/>
      <c r="B202" s="168" t="s">
        <v>35</v>
      </c>
      <c r="C202" s="169" t="s">
        <v>451</v>
      </c>
      <c r="D202" s="170" t="s">
        <v>36</v>
      </c>
      <c r="E202" s="185"/>
      <c r="F202" s="186"/>
      <c r="G202" s="172"/>
      <c r="H202" s="186">
        <f>SUM(G202)</f>
        <v>0</v>
      </c>
      <c r="I202" s="187"/>
      <c r="J202" s="172"/>
      <c r="K202" s="187">
        <f t="shared" si="42"/>
        <v>0</v>
      </c>
      <c r="L202" s="186"/>
      <c r="M202" s="186">
        <f>SUM(J202)+G202</f>
        <v>0</v>
      </c>
      <c r="N202" s="186">
        <f>SUM(M202)</f>
        <v>0</v>
      </c>
      <c r="O202" s="178"/>
      <c r="P202" s="92"/>
      <c r="Q202" s="25"/>
    </row>
    <row r="203" spans="1:17" ht="18.75" x14ac:dyDescent="0.2">
      <c r="A203" s="19"/>
      <c r="B203" s="190" t="s">
        <v>221</v>
      </c>
      <c r="C203" s="191" t="s">
        <v>222</v>
      </c>
      <c r="D203" s="192"/>
      <c r="E203" s="193"/>
      <c r="F203" s="172">
        <f>F204</f>
        <v>3478.2</v>
      </c>
      <c r="G203" s="172">
        <f>SUM(G204)</f>
        <v>0</v>
      </c>
      <c r="H203" s="172">
        <f>SUM(F203)+G203</f>
        <v>3478.2</v>
      </c>
      <c r="I203" s="172">
        <f>SUM(I204)</f>
        <v>3300</v>
      </c>
      <c r="J203" s="172">
        <f>SUM(J204)</f>
        <v>0</v>
      </c>
      <c r="K203" s="172">
        <f>SUM(K204)</f>
        <v>3300</v>
      </c>
      <c r="L203" s="172">
        <f>SUM(F203)+I203</f>
        <v>6778.2</v>
      </c>
      <c r="M203" s="194">
        <f>SUM(M204)</f>
        <v>0</v>
      </c>
      <c r="N203" s="172">
        <f>SUM(L203+M203)</f>
        <v>6778.2</v>
      </c>
      <c r="O203" s="178"/>
      <c r="P203" s="92"/>
      <c r="Q203" s="25"/>
    </row>
    <row r="204" spans="1:17" ht="19.149999999999999" customHeight="1" x14ac:dyDescent="0.2">
      <c r="A204" s="19"/>
      <c r="B204" s="168" t="s">
        <v>223</v>
      </c>
      <c r="C204" s="169" t="s">
        <v>224</v>
      </c>
      <c r="D204" s="170"/>
      <c r="E204" s="171"/>
      <c r="F204" s="172">
        <f>1914.2+F207</f>
        <v>3478.2</v>
      </c>
      <c r="G204" s="172">
        <f>SUM(G205)+G207</f>
        <v>0</v>
      </c>
      <c r="H204" s="172">
        <f>SUM(F204)+G204</f>
        <v>3478.2</v>
      </c>
      <c r="I204" s="172">
        <f>SUM(I205)+I207</f>
        <v>3300</v>
      </c>
      <c r="J204" s="172"/>
      <c r="K204" s="172">
        <f>SUM(K205)+K207</f>
        <v>3300</v>
      </c>
      <c r="L204" s="172">
        <f>SUM(F204)+I204</f>
        <v>6778.2</v>
      </c>
      <c r="M204" s="172">
        <f>SUM(G204+J204)</f>
        <v>0</v>
      </c>
      <c r="N204" s="172">
        <f>SUM(L204+M204)</f>
        <v>6778.2</v>
      </c>
      <c r="O204" s="178"/>
      <c r="P204" s="92"/>
      <c r="Q204" s="25"/>
    </row>
    <row r="205" spans="1:17" ht="18.75" x14ac:dyDescent="0.2">
      <c r="A205" s="19"/>
      <c r="B205" s="168" t="s">
        <v>67</v>
      </c>
      <c r="C205" s="169" t="s">
        <v>225</v>
      </c>
      <c r="D205" s="170"/>
      <c r="E205" s="171"/>
      <c r="F205" s="172">
        <v>1914.2</v>
      </c>
      <c r="G205" s="172">
        <f>SUM(G206)</f>
        <v>0</v>
      </c>
      <c r="H205" s="172">
        <f>SUM(F205)+G205</f>
        <v>1914.2</v>
      </c>
      <c r="I205" s="188"/>
      <c r="J205" s="172">
        <f>SUM(J206)</f>
        <v>0</v>
      </c>
      <c r="K205" s="188">
        <f t="shared" si="42"/>
        <v>0</v>
      </c>
      <c r="L205" s="172">
        <f>SUM(F205)</f>
        <v>1914.2</v>
      </c>
      <c r="M205" s="172">
        <f>SUM(M206)</f>
        <v>0</v>
      </c>
      <c r="N205" s="172">
        <f>SUM(L205+M205)</f>
        <v>1914.2</v>
      </c>
      <c r="O205" s="178"/>
      <c r="P205" s="92"/>
      <c r="Q205" s="25"/>
    </row>
    <row r="206" spans="1:17" ht="31.5" x14ac:dyDescent="0.2">
      <c r="A206" s="19"/>
      <c r="B206" s="168" t="s">
        <v>35</v>
      </c>
      <c r="C206" s="169" t="s">
        <v>225</v>
      </c>
      <c r="D206" s="170" t="s">
        <v>36</v>
      </c>
      <c r="E206" s="171"/>
      <c r="F206" s="172">
        <v>1914.2</v>
      </c>
      <c r="G206" s="172"/>
      <c r="H206" s="172">
        <f>SUM(F206)+G206</f>
        <v>1914.2</v>
      </c>
      <c r="I206" s="188"/>
      <c r="J206" s="189"/>
      <c r="K206" s="188">
        <f t="shared" si="42"/>
        <v>0</v>
      </c>
      <c r="L206" s="172">
        <f>SUM(F206)</f>
        <v>1914.2</v>
      </c>
      <c r="M206" s="172">
        <f>SUM(G206)+J206</f>
        <v>0</v>
      </c>
      <c r="N206" s="172">
        <f>SUM(H206+K206)</f>
        <v>1914.2</v>
      </c>
      <c r="O206" s="178"/>
      <c r="P206" s="92"/>
      <c r="Q206" s="25"/>
    </row>
    <row r="207" spans="1:17" ht="31.5" x14ac:dyDescent="0.2">
      <c r="A207" s="19"/>
      <c r="B207" s="168" t="s">
        <v>193</v>
      </c>
      <c r="C207" s="169" t="s">
        <v>451</v>
      </c>
      <c r="D207" s="170"/>
      <c r="E207" s="171"/>
      <c r="F207" s="172">
        <v>1564</v>
      </c>
      <c r="G207" s="172"/>
      <c r="H207" s="172">
        <f>SUM(F207)</f>
        <v>1564</v>
      </c>
      <c r="I207" s="188">
        <v>3300</v>
      </c>
      <c r="J207" s="189"/>
      <c r="K207" s="188">
        <f>SUM(I207)</f>
        <v>3300</v>
      </c>
      <c r="L207" s="172">
        <f>SUM(F207+I207)</f>
        <v>4864</v>
      </c>
      <c r="M207" s="172">
        <f>SUM(G207)+J207</f>
        <v>0</v>
      </c>
      <c r="N207" s="172">
        <f>SUM(H207)+K207</f>
        <v>4864</v>
      </c>
      <c r="O207" s="178"/>
      <c r="P207" s="92"/>
      <c r="Q207" s="25"/>
    </row>
    <row r="208" spans="1:17" ht="31.5" x14ac:dyDescent="0.2">
      <c r="A208" s="19"/>
      <c r="B208" s="168" t="s">
        <v>35</v>
      </c>
      <c r="C208" s="169" t="s">
        <v>451</v>
      </c>
      <c r="D208" s="170" t="s">
        <v>36</v>
      </c>
      <c r="E208" s="171"/>
      <c r="F208" s="172">
        <v>1564</v>
      </c>
      <c r="G208" s="172"/>
      <c r="H208" s="172">
        <f>SUM(F208)</f>
        <v>1564</v>
      </c>
      <c r="I208" s="188">
        <v>3300</v>
      </c>
      <c r="J208" s="189"/>
      <c r="K208" s="188">
        <f>SUM(I208)</f>
        <v>3300</v>
      </c>
      <c r="L208" s="172">
        <f>SUM(F208+I208)</f>
        <v>4864</v>
      </c>
      <c r="M208" s="172">
        <f>SUM(G208)+J208</f>
        <v>0</v>
      </c>
      <c r="N208" s="172">
        <f>SUM(H208)+K208</f>
        <v>4864</v>
      </c>
      <c r="O208" s="178"/>
      <c r="P208" s="92"/>
      <c r="Q208" s="25"/>
    </row>
    <row r="209" spans="1:16" ht="31.5" x14ac:dyDescent="0.2">
      <c r="A209" s="49"/>
      <c r="B209" s="206" t="s">
        <v>226</v>
      </c>
      <c r="C209" s="207" t="s">
        <v>227</v>
      </c>
      <c r="D209" s="208" t="s">
        <v>26</v>
      </c>
      <c r="E209" s="209"/>
      <c r="F209" s="210">
        <f t="shared" ref="F209:N210" si="43">F210</f>
        <v>330</v>
      </c>
      <c r="G209" s="210">
        <f t="shared" si="43"/>
        <v>0</v>
      </c>
      <c r="H209" s="210">
        <f t="shared" si="43"/>
        <v>330</v>
      </c>
      <c r="I209" s="211">
        <f t="shared" si="43"/>
        <v>0</v>
      </c>
      <c r="J209" s="212"/>
      <c r="K209" s="211">
        <f t="shared" si="43"/>
        <v>0</v>
      </c>
      <c r="L209" s="210">
        <f t="shared" si="43"/>
        <v>330</v>
      </c>
      <c r="M209" s="210">
        <f t="shared" si="43"/>
        <v>0</v>
      </c>
      <c r="N209" s="210">
        <f t="shared" si="43"/>
        <v>330</v>
      </c>
      <c r="O209" s="178"/>
      <c r="P209" s="92"/>
    </row>
    <row r="210" spans="1:16" ht="31.5" x14ac:dyDescent="0.2">
      <c r="A210" s="42"/>
      <c r="B210" s="168" t="s">
        <v>228</v>
      </c>
      <c r="C210" s="169" t="s">
        <v>229</v>
      </c>
      <c r="D210" s="170" t="s">
        <v>26</v>
      </c>
      <c r="E210" s="171"/>
      <c r="F210" s="172">
        <f t="shared" si="43"/>
        <v>330</v>
      </c>
      <c r="G210" s="172">
        <f t="shared" si="43"/>
        <v>0</v>
      </c>
      <c r="H210" s="172">
        <f t="shared" si="43"/>
        <v>330</v>
      </c>
      <c r="I210" s="188">
        <f t="shared" si="43"/>
        <v>0</v>
      </c>
      <c r="J210" s="189"/>
      <c r="K210" s="188">
        <f t="shared" si="43"/>
        <v>0</v>
      </c>
      <c r="L210" s="172">
        <f t="shared" si="43"/>
        <v>330</v>
      </c>
      <c r="M210" s="172">
        <f t="shared" si="43"/>
        <v>0</v>
      </c>
      <c r="N210" s="172">
        <f t="shared" si="43"/>
        <v>330</v>
      </c>
      <c r="O210" s="178"/>
      <c r="P210" s="92"/>
    </row>
    <row r="211" spans="1:16" ht="31.5" x14ac:dyDescent="0.2">
      <c r="A211" s="42"/>
      <c r="B211" s="168" t="s">
        <v>226</v>
      </c>
      <c r="C211" s="169" t="s">
        <v>230</v>
      </c>
      <c r="D211" s="170" t="s">
        <v>26</v>
      </c>
      <c r="E211" s="171"/>
      <c r="F211" s="172">
        <f>F213+F212</f>
        <v>330</v>
      </c>
      <c r="G211" s="172">
        <f>G213+G212</f>
        <v>0</v>
      </c>
      <c r="H211" s="172">
        <f>H213+H212</f>
        <v>330</v>
      </c>
      <c r="I211" s="188">
        <f>I213+I212</f>
        <v>0</v>
      </c>
      <c r="J211" s="189"/>
      <c r="K211" s="188">
        <f>K213+K212</f>
        <v>0</v>
      </c>
      <c r="L211" s="172">
        <f>L213+L212</f>
        <v>330</v>
      </c>
      <c r="M211" s="172">
        <f>M213+M212</f>
        <v>0</v>
      </c>
      <c r="N211" s="172">
        <f>N213+N212</f>
        <v>330</v>
      </c>
      <c r="O211" s="178"/>
      <c r="P211" s="92"/>
    </row>
    <row r="212" spans="1:16" ht="31.5" x14ac:dyDescent="0.2">
      <c r="A212" s="42"/>
      <c r="B212" s="168" t="s">
        <v>35</v>
      </c>
      <c r="C212" s="169" t="s">
        <v>230</v>
      </c>
      <c r="D212" s="170" t="s">
        <v>36</v>
      </c>
      <c r="E212" s="171"/>
      <c r="F212" s="172">
        <v>200</v>
      </c>
      <c r="G212" s="172"/>
      <c r="H212" s="172">
        <v>200</v>
      </c>
      <c r="I212" s="188">
        <v>0</v>
      </c>
      <c r="J212" s="189"/>
      <c r="K212" s="188">
        <v>0</v>
      </c>
      <c r="L212" s="172">
        <v>200</v>
      </c>
      <c r="M212" s="172"/>
      <c r="N212" s="172">
        <v>200</v>
      </c>
      <c r="O212" s="178"/>
      <c r="P212" s="92"/>
    </row>
    <row r="213" spans="1:16" ht="18.75" x14ac:dyDescent="0.2">
      <c r="A213" s="42"/>
      <c r="B213" s="168" t="s">
        <v>41</v>
      </c>
      <c r="C213" s="169" t="s">
        <v>230</v>
      </c>
      <c r="D213" s="170" t="s">
        <v>42</v>
      </c>
      <c r="E213" s="171"/>
      <c r="F213" s="172">
        <v>130</v>
      </c>
      <c r="G213" s="172"/>
      <c r="H213" s="172">
        <v>130</v>
      </c>
      <c r="I213" s="188">
        <v>0</v>
      </c>
      <c r="J213" s="189"/>
      <c r="K213" s="188">
        <v>0</v>
      </c>
      <c r="L213" s="172">
        <v>130</v>
      </c>
      <c r="M213" s="172"/>
      <c r="N213" s="172">
        <v>130</v>
      </c>
      <c r="O213" s="178"/>
      <c r="P213" s="92"/>
    </row>
    <row r="214" spans="1:16" ht="22.15" customHeight="1" x14ac:dyDescent="0.2">
      <c r="A214" s="49"/>
      <c r="B214" s="190" t="s">
        <v>231</v>
      </c>
      <c r="C214" s="191" t="s">
        <v>232</v>
      </c>
      <c r="D214" s="192" t="s">
        <v>26</v>
      </c>
      <c r="E214" s="193"/>
      <c r="F214" s="194">
        <f t="shared" ref="F214:N215" si="44">F215</f>
        <v>4396.1000000000004</v>
      </c>
      <c r="G214" s="194">
        <f t="shared" si="44"/>
        <v>0</v>
      </c>
      <c r="H214" s="194">
        <f t="shared" si="44"/>
        <v>4396.1000000000004</v>
      </c>
      <c r="I214" s="195">
        <f t="shared" si="44"/>
        <v>0</v>
      </c>
      <c r="J214" s="194">
        <f t="shared" si="44"/>
        <v>0</v>
      </c>
      <c r="K214" s="195">
        <f t="shared" si="44"/>
        <v>0</v>
      </c>
      <c r="L214" s="194">
        <f t="shared" si="44"/>
        <v>4396.1000000000004</v>
      </c>
      <c r="M214" s="194">
        <f t="shared" si="44"/>
        <v>0</v>
      </c>
      <c r="N214" s="194">
        <f t="shared" si="44"/>
        <v>4396.1000000000004</v>
      </c>
      <c r="O214" s="178"/>
      <c r="P214" s="92"/>
    </row>
    <row r="215" spans="1:16" ht="34.9" customHeight="1" x14ac:dyDescent="0.2">
      <c r="A215" s="42"/>
      <c r="B215" s="168" t="s">
        <v>233</v>
      </c>
      <c r="C215" s="169" t="s">
        <v>234</v>
      </c>
      <c r="D215" s="170" t="s">
        <v>26</v>
      </c>
      <c r="E215" s="171"/>
      <c r="F215" s="172">
        <f t="shared" si="44"/>
        <v>4396.1000000000004</v>
      </c>
      <c r="G215" s="172">
        <f>G216+G221</f>
        <v>0</v>
      </c>
      <c r="H215" s="172">
        <f t="shared" si="44"/>
        <v>4396.1000000000004</v>
      </c>
      <c r="I215" s="188">
        <f t="shared" si="44"/>
        <v>0</v>
      </c>
      <c r="J215" s="189"/>
      <c r="K215" s="188">
        <f t="shared" si="44"/>
        <v>0</v>
      </c>
      <c r="L215" s="172">
        <f t="shared" si="44"/>
        <v>4396.1000000000004</v>
      </c>
      <c r="M215" s="172">
        <f>SUM(G215)</f>
        <v>0</v>
      </c>
      <c r="N215" s="172">
        <f>N216</f>
        <v>4396.1000000000004</v>
      </c>
      <c r="O215" s="178"/>
      <c r="P215" s="92"/>
    </row>
    <row r="216" spans="1:16" ht="31.5" x14ac:dyDescent="0.2">
      <c r="A216" s="42"/>
      <c r="B216" s="168" t="s">
        <v>39</v>
      </c>
      <c r="C216" s="169" t="s">
        <v>235</v>
      </c>
      <c r="D216" s="170" t="s">
        <v>26</v>
      </c>
      <c r="E216" s="171"/>
      <c r="F216" s="172">
        <f>F217+F218</f>
        <v>4396.1000000000004</v>
      </c>
      <c r="G216" s="172">
        <f>G217+G218</f>
        <v>0</v>
      </c>
      <c r="H216" s="172">
        <f>H217+H218</f>
        <v>4396.1000000000004</v>
      </c>
      <c r="I216" s="188">
        <f>I217+I218</f>
        <v>0</v>
      </c>
      <c r="J216" s="189"/>
      <c r="K216" s="188">
        <f>K217+K218</f>
        <v>0</v>
      </c>
      <c r="L216" s="172">
        <f>L217+L218</f>
        <v>4396.1000000000004</v>
      </c>
      <c r="M216" s="172">
        <f>M217+M218</f>
        <v>0</v>
      </c>
      <c r="N216" s="172">
        <f>N217+N218</f>
        <v>4396.1000000000004</v>
      </c>
      <c r="O216" s="178"/>
      <c r="P216" s="92"/>
    </row>
    <row r="217" spans="1:16" ht="66" customHeight="1" x14ac:dyDescent="0.2">
      <c r="A217" s="42"/>
      <c r="B217" s="168" t="s">
        <v>31</v>
      </c>
      <c r="C217" s="169" t="s">
        <v>235</v>
      </c>
      <c r="D217" s="170" t="s">
        <v>32</v>
      </c>
      <c r="E217" s="171"/>
      <c r="F217" s="172">
        <v>4250.6000000000004</v>
      </c>
      <c r="G217" s="172"/>
      <c r="H217" s="172">
        <f>SUM(F217)</f>
        <v>4250.6000000000004</v>
      </c>
      <c r="I217" s="188">
        <v>0</v>
      </c>
      <c r="J217" s="189"/>
      <c r="K217" s="188">
        <v>0</v>
      </c>
      <c r="L217" s="172">
        <f>SUM(F217)</f>
        <v>4250.6000000000004</v>
      </c>
      <c r="M217" s="172">
        <f>SUM(G217)</f>
        <v>0</v>
      </c>
      <c r="N217" s="172">
        <f>SUM(H217)</f>
        <v>4250.6000000000004</v>
      </c>
      <c r="O217" s="178"/>
      <c r="P217" s="92"/>
    </row>
    <row r="218" spans="1:16" ht="30.75" customHeight="1" x14ac:dyDescent="0.2">
      <c r="A218" s="42"/>
      <c r="B218" s="168" t="s">
        <v>35</v>
      </c>
      <c r="C218" s="169" t="s">
        <v>235</v>
      </c>
      <c r="D218" s="170" t="s">
        <v>36</v>
      </c>
      <c r="E218" s="171"/>
      <c r="F218" s="172">
        <v>145.5</v>
      </c>
      <c r="G218" s="172"/>
      <c r="H218" s="172">
        <v>145.5</v>
      </c>
      <c r="I218" s="188">
        <v>0</v>
      </c>
      <c r="J218" s="189"/>
      <c r="K218" s="188">
        <v>0</v>
      </c>
      <c r="L218" s="172">
        <v>145.5</v>
      </c>
      <c r="M218" s="172"/>
      <c r="N218" s="172">
        <v>145.5</v>
      </c>
      <c r="O218" s="178"/>
      <c r="P218" s="92"/>
    </row>
    <row r="219" spans="1:16" ht="18.75" hidden="1" x14ac:dyDescent="0.2">
      <c r="A219" s="42"/>
      <c r="B219" s="168"/>
      <c r="C219" s="169"/>
      <c r="D219" s="170"/>
      <c r="E219" s="171"/>
      <c r="F219" s="172"/>
      <c r="G219" s="172"/>
      <c r="H219" s="172"/>
      <c r="I219" s="188"/>
      <c r="J219" s="189"/>
      <c r="K219" s="188"/>
      <c r="L219" s="172"/>
      <c r="M219" s="172"/>
      <c r="N219" s="172"/>
      <c r="O219" s="178"/>
      <c r="P219" s="92"/>
    </row>
    <row r="220" spans="1:16" ht="18.75" hidden="1" x14ac:dyDescent="0.2">
      <c r="A220" s="42"/>
      <c r="B220" s="168"/>
      <c r="C220" s="169" t="s">
        <v>457</v>
      </c>
      <c r="D220" s="170"/>
      <c r="E220" s="171"/>
      <c r="F220" s="172"/>
      <c r="G220" s="172"/>
      <c r="H220" s="172"/>
      <c r="I220" s="188"/>
      <c r="J220" s="189"/>
      <c r="K220" s="188"/>
      <c r="L220" s="172"/>
      <c r="M220" s="172"/>
      <c r="N220" s="172"/>
      <c r="O220" s="178"/>
      <c r="P220" s="92"/>
    </row>
    <row r="221" spans="1:16" ht="47.25" hidden="1" x14ac:dyDescent="0.2">
      <c r="A221" s="42"/>
      <c r="B221" s="168" t="s">
        <v>458</v>
      </c>
      <c r="C221" s="169" t="s">
        <v>457</v>
      </c>
      <c r="D221" s="170"/>
      <c r="E221" s="171"/>
      <c r="F221" s="172"/>
      <c r="G221" s="172">
        <f>SUM(G222)</f>
        <v>0</v>
      </c>
      <c r="H221" s="172"/>
      <c r="I221" s="188"/>
      <c r="J221" s="189"/>
      <c r="K221" s="188"/>
      <c r="L221" s="172"/>
      <c r="M221" s="172">
        <f>SUM(G221)</f>
        <v>0</v>
      </c>
      <c r="N221" s="172">
        <f>SUM(H221)</f>
        <v>0</v>
      </c>
      <c r="O221" s="178"/>
      <c r="P221" s="92"/>
    </row>
    <row r="222" spans="1:16" ht="18.75" hidden="1" x14ac:dyDescent="0.2">
      <c r="A222" s="42"/>
      <c r="B222" s="168" t="s">
        <v>278</v>
      </c>
      <c r="C222" s="169" t="s">
        <v>457</v>
      </c>
      <c r="D222" s="170" t="s">
        <v>279</v>
      </c>
      <c r="E222" s="171"/>
      <c r="F222" s="172"/>
      <c r="G222" s="172"/>
      <c r="H222" s="172">
        <f>SUM(G222)</f>
        <v>0</v>
      </c>
      <c r="I222" s="188"/>
      <c r="J222" s="189"/>
      <c r="K222" s="188"/>
      <c r="L222" s="172"/>
      <c r="M222" s="172">
        <f>SUM(G222)</f>
        <v>0</v>
      </c>
      <c r="N222" s="172">
        <f>SUM(H222)</f>
        <v>0</v>
      </c>
      <c r="O222" s="178"/>
      <c r="P222" s="92"/>
    </row>
    <row r="223" spans="1:16" ht="48.6" customHeight="1" x14ac:dyDescent="0.2">
      <c r="A223" s="49"/>
      <c r="B223" s="190" t="s">
        <v>236</v>
      </c>
      <c r="C223" s="191" t="s">
        <v>237</v>
      </c>
      <c r="D223" s="192" t="s">
        <v>26</v>
      </c>
      <c r="E223" s="193"/>
      <c r="F223" s="194">
        <f t="shared" ref="F223:N225" si="45">F224</f>
        <v>800</v>
      </c>
      <c r="G223" s="194">
        <f t="shared" si="45"/>
        <v>0</v>
      </c>
      <c r="H223" s="194">
        <f t="shared" si="45"/>
        <v>800</v>
      </c>
      <c r="I223" s="195">
        <f t="shared" si="45"/>
        <v>0</v>
      </c>
      <c r="J223" s="194">
        <f>J224</f>
        <v>0</v>
      </c>
      <c r="K223" s="195">
        <f t="shared" si="45"/>
        <v>0</v>
      </c>
      <c r="L223" s="194">
        <f t="shared" si="45"/>
        <v>800</v>
      </c>
      <c r="M223" s="194">
        <f t="shared" si="45"/>
        <v>0</v>
      </c>
      <c r="N223" s="194">
        <f t="shared" si="45"/>
        <v>800</v>
      </c>
      <c r="O223" s="178"/>
      <c r="P223" s="92"/>
    </row>
    <row r="224" spans="1:16" ht="33.6" customHeight="1" x14ac:dyDescent="0.2">
      <c r="A224" s="42"/>
      <c r="B224" s="168" t="s">
        <v>238</v>
      </c>
      <c r="C224" s="169" t="s">
        <v>239</v>
      </c>
      <c r="D224" s="170" t="s">
        <v>26</v>
      </c>
      <c r="E224" s="171"/>
      <c r="F224" s="172">
        <f t="shared" si="45"/>
        <v>800</v>
      </c>
      <c r="G224" s="172">
        <f t="shared" si="45"/>
        <v>0</v>
      </c>
      <c r="H224" s="172">
        <f t="shared" si="45"/>
        <v>800</v>
      </c>
      <c r="I224" s="188">
        <f t="shared" si="45"/>
        <v>0</v>
      </c>
      <c r="J224" s="189"/>
      <c r="K224" s="188">
        <f t="shared" si="45"/>
        <v>0</v>
      </c>
      <c r="L224" s="172">
        <f t="shared" si="45"/>
        <v>800</v>
      </c>
      <c r="M224" s="172">
        <f t="shared" si="45"/>
        <v>0</v>
      </c>
      <c r="N224" s="172">
        <f t="shared" si="45"/>
        <v>800</v>
      </c>
      <c r="O224" s="178"/>
      <c r="P224" s="92"/>
    </row>
    <row r="225" spans="1:16" ht="18.75" x14ac:dyDescent="0.2">
      <c r="A225" s="42"/>
      <c r="B225" s="168" t="s">
        <v>240</v>
      </c>
      <c r="C225" s="169" t="s">
        <v>241</v>
      </c>
      <c r="D225" s="170" t="s">
        <v>26</v>
      </c>
      <c r="E225" s="171"/>
      <c r="F225" s="172">
        <f t="shared" si="45"/>
        <v>800</v>
      </c>
      <c r="G225" s="172">
        <f t="shared" si="45"/>
        <v>0</v>
      </c>
      <c r="H225" s="172">
        <f t="shared" si="45"/>
        <v>800</v>
      </c>
      <c r="I225" s="188">
        <f t="shared" si="45"/>
        <v>0</v>
      </c>
      <c r="J225" s="189"/>
      <c r="K225" s="188">
        <f t="shared" si="45"/>
        <v>0</v>
      </c>
      <c r="L225" s="172">
        <f t="shared" si="45"/>
        <v>800</v>
      </c>
      <c r="M225" s="172">
        <f t="shared" si="45"/>
        <v>0</v>
      </c>
      <c r="N225" s="172">
        <f t="shared" si="45"/>
        <v>800</v>
      </c>
      <c r="O225" s="178"/>
      <c r="P225" s="92"/>
    </row>
    <row r="226" spans="1:16" ht="31.5" x14ac:dyDescent="0.2">
      <c r="A226" s="42"/>
      <c r="B226" s="168" t="s">
        <v>35</v>
      </c>
      <c r="C226" s="169" t="s">
        <v>241</v>
      </c>
      <c r="D226" s="170" t="s">
        <v>36</v>
      </c>
      <c r="E226" s="171"/>
      <c r="F226" s="172">
        <v>800</v>
      </c>
      <c r="G226" s="172"/>
      <c r="H226" s="172">
        <v>800</v>
      </c>
      <c r="I226" s="188">
        <v>0</v>
      </c>
      <c r="J226" s="189"/>
      <c r="K226" s="188">
        <v>0</v>
      </c>
      <c r="L226" s="172">
        <f>SUM(F226)</f>
        <v>800</v>
      </c>
      <c r="M226" s="172">
        <f>SUM(G226)</f>
        <v>0</v>
      </c>
      <c r="N226" s="172">
        <f>SUM(H226)</f>
        <v>800</v>
      </c>
      <c r="O226" s="178"/>
      <c r="P226" s="92"/>
    </row>
    <row r="227" spans="1:16" ht="18.75" x14ac:dyDescent="0.2">
      <c r="A227" s="49"/>
      <c r="B227" s="190" t="s">
        <v>140</v>
      </c>
      <c r="C227" s="191" t="s">
        <v>242</v>
      </c>
      <c r="D227" s="192" t="s">
        <v>26</v>
      </c>
      <c r="E227" s="193"/>
      <c r="F227" s="194">
        <f t="shared" ref="F227:N229" si="46">F228</f>
        <v>10929.4</v>
      </c>
      <c r="G227" s="194">
        <f t="shared" si="46"/>
        <v>293</v>
      </c>
      <c r="H227" s="194">
        <f t="shared" si="46"/>
        <v>11222.4</v>
      </c>
      <c r="I227" s="195">
        <f t="shared" si="46"/>
        <v>148194</v>
      </c>
      <c r="J227" s="194">
        <f>J228</f>
        <v>0</v>
      </c>
      <c r="K227" s="195">
        <f t="shared" si="46"/>
        <v>148194</v>
      </c>
      <c r="L227" s="194">
        <f t="shared" si="46"/>
        <v>159123.4</v>
      </c>
      <c r="M227" s="194">
        <f t="shared" si="46"/>
        <v>293</v>
      </c>
      <c r="N227" s="194">
        <f t="shared" si="46"/>
        <v>159416.4</v>
      </c>
      <c r="O227" s="178"/>
      <c r="P227" s="92"/>
    </row>
    <row r="228" spans="1:16" ht="31.5" x14ac:dyDescent="0.2">
      <c r="A228" s="42"/>
      <c r="B228" s="168" t="s">
        <v>243</v>
      </c>
      <c r="C228" s="169" t="s">
        <v>244</v>
      </c>
      <c r="D228" s="170" t="s">
        <v>26</v>
      </c>
      <c r="E228" s="171"/>
      <c r="F228" s="172">
        <f>F229+F231</f>
        <v>10929.4</v>
      </c>
      <c r="G228" s="172">
        <f>G229+G231</f>
        <v>293</v>
      </c>
      <c r="H228" s="172">
        <f>H229+H231</f>
        <v>11222.4</v>
      </c>
      <c r="I228" s="188">
        <f t="shared" si="46"/>
        <v>148194</v>
      </c>
      <c r="J228" s="189"/>
      <c r="K228" s="188">
        <f t="shared" si="46"/>
        <v>148194</v>
      </c>
      <c r="L228" s="172">
        <f>L229+L231</f>
        <v>159123.4</v>
      </c>
      <c r="M228" s="172">
        <f>M229+M231</f>
        <v>293</v>
      </c>
      <c r="N228" s="172">
        <f>N229+N231</f>
        <v>159416.4</v>
      </c>
      <c r="O228" s="178"/>
      <c r="P228" s="92"/>
    </row>
    <row r="229" spans="1:16" ht="97.15" customHeight="1" x14ac:dyDescent="0.2">
      <c r="A229" s="42"/>
      <c r="B229" s="168" t="s">
        <v>478</v>
      </c>
      <c r="C229" s="169" t="s">
        <v>246</v>
      </c>
      <c r="D229" s="170" t="s">
        <v>26</v>
      </c>
      <c r="E229" s="171"/>
      <c r="F229" s="172">
        <f t="shared" si="46"/>
        <v>7799.8</v>
      </c>
      <c r="G229" s="172">
        <f t="shared" si="46"/>
        <v>0</v>
      </c>
      <c r="H229" s="172">
        <f t="shared" si="46"/>
        <v>7799.8</v>
      </c>
      <c r="I229" s="188">
        <f t="shared" si="46"/>
        <v>148194</v>
      </c>
      <c r="J229" s="189"/>
      <c r="K229" s="188">
        <f t="shared" si="46"/>
        <v>148194</v>
      </c>
      <c r="L229" s="172">
        <f t="shared" si="46"/>
        <v>155993.79999999999</v>
      </c>
      <c r="M229" s="172">
        <f t="shared" si="46"/>
        <v>0</v>
      </c>
      <c r="N229" s="172">
        <f t="shared" si="46"/>
        <v>155993.79999999999</v>
      </c>
      <c r="O229" s="178"/>
      <c r="P229" s="92"/>
    </row>
    <row r="230" spans="1:16" ht="31.5" x14ac:dyDescent="0.2">
      <c r="A230" s="42"/>
      <c r="B230" s="168" t="s">
        <v>131</v>
      </c>
      <c r="C230" s="169" t="s">
        <v>246</v>
      </c>
      <c r="D230" s="170" t="s">
        <v>132</v>
      </c>
      <c r="E230" s="171"/>
      <c r="F230" s="172">
        <v>7799.8</v>
      </c>
      <c r="G230" s="172"/>
      <c r="H230" s="172">
        <f>SUM(F230)</f>
        <v>7799.8</v>
      </c>
      <c r="I230" s="188">
        <v>148194</v>
      </c>
      <c r="J230" s="189"/>
      <c r="K230" s="188">
        <f>SUM(I230)</f>
        <v>148194</v>
      </c>
      <c r="L230" s="172">
        <f>SUM(F230+I230)</f>
        <v>155993.79999999999</v>
      </c>
      <c r="M230" s="172">
        <f>SUM(G230)+J230</f>
        <v>0</v>
      </c>
      <c r="N230" s="172">
        <f>SUM(H230+K230)</f>
        <v>155993.79999999999</v>
      </c>
      <c r="O230" s="178"/>
      <c r="P230" s="92"/>
    </row>
    <row r="231" spans="1:16" ht="78.75" x14ac:dyDescent="0.2">
      <c r="A231" s="42"/>
      <c r="B231" s="198" t="s">
        <v>479</v>
      </c>
      <c r="C231" s="169" t="s">
        <v>461</v>
      </c>
      <c r="D231" s="170"/>
      <c r="E231" s="171"/>
      <c r="F231" s="172">
        <v>3129.6</v>
      </c>
      <c r="G231" s="172">
        <f>G232</f>
        <v>293</v>
      </c>
      <c r="H231" s="172">
        <f>SUM(F231:G231)</f>
        <v>3422.6</v>
      </c>
      <c r="I231" s="188"/>
      <c r="J231" s="189"/>
      <c r="K231" s="188"/>
      <c r="L231" s="172">
        <f>L232</f>
        <v>3129.6</v>
      </c>
      <c r="M231" s="172">
        <f>M232</f>
        <v>293</v>
      </c>
      <c r="N231" s="172">
        <f>N232</f>
        <v>3422.6</v>
      </c>
      <c r="O231" s="178"/>
      <c r="P231" s="92"/>
    </row>
    <row r="232" spans="1:16" ht="31.5" x14ac:dyDescent="0.2">
      <c r="A232" s="42"/>
      <c r="B232" s="168" t="s">
        <v>131</v>
      </c>
      <c r="C232" s="169" t="s">
        <v>461</v>
      </c>
      <c r="D232" s="170" t="s">
        <v>132</v>
      </c>
      <c r="E232" s="171"/>
      <c r="F232" s="172">
        <v>3129.6</v>
      </c>
      <c r="G232" s="172">
        <v>293</v>
      </c>
      <c r="H232" s="172">
        <f>SUM(F232:G232)</f>
        <v>3422.6</v>
      </c>
      <c r="I232" s="188"/>
      <c r="J232" s="189"/>
      <c r="K232" s="188"/>
      <c r="L232" s="172">
        <f>SUM(F232)</f>
        <v>3129.6</v>
      </c>
      <c r="M232" s="172">
        <f>SUM(G232)</f>
        <v>293</v>
      </c>
      <c r="N232" s="172">
        <f>SUM(L232:M232)</f>
        <v>3422.6</v>
      </c>
      <c r="O232" s="178"/>
      <c r="P232" s="92"/>
    </row>
    <row r="233" spans="1:16" ht="31.5" x14ac:dyDescent="0.2">
      <c r="A233" s="19" t="s">
        <v>247</v>
      </c>
      <c r="B233" s="182" t="s">
        <v>248</v>
      </c>
      <c r="C233" s="183" t="s">
        <v>249</v>
      </c>
      <c r="D233" s="184" t="s">
        <v>26</v>
      </c>
      <c r="E233" s="185"/>
      <c r="F233" s="186">
        <f t="shared" ref="F233:N233" si="47">F234+F238</f>
        <v>5466</v>
      </c>
      <c r="G233" s="186">
        <f t="shared" si="47"/>
        <v>0</v>
      </c>
      <c r="H233" s="186">
        <f t="shared" si="47"/>
        <v>5466</v>
      </c>
      <c r="I233" s="187">
        <f t="shared" si="47"/>
        <v>0</v>
      </c>
      <c r="J233" s="186">
        <f t="shared" si="47"/>
        <v>0</v>
      </c>
      <c r="K233" s="187">
        <f t="shared" si="47"/>
        <v>0</v>
      </c>
      <c r="L233" s="186">
        <f t="shared" si="47"/>
        <v>5466</v>
      </c>
      <c r="M233" s="186">
        <f t="shared" si="47"/>
        <v>0</v>
      </c>
      <c r="N233" s="186">
        <f t="shared" si="47"/>
        <v>5466</v>
      </c>
      <c r="O233" s="178"/>
      <c r="P233" s="92"/>
    </row>
    <row r="234" spans="1:16" ht="18.75" x14ac:dyDescent="0.2">
      <c r="A234" s="49"/>
      <c r="B234" s="190" t="s">
        <v>250</v>
      </c>
      <c r="C234" s="191" t="s">
        <v>251</v>
      </c>
      <c r="D234" s="192" t="s">
        <v>26</v>
      </c>
      <c r="E234" s="193"/>
      <c r="F234" s="194">
        <f t="shared" ref="F234:N236" si="48">F235</f>
        <v>3500</v>
      </c>
      <c r="G234" s="194">
        <f t="shared" si="48"/>
        <v>0</v>
      </c>
      <c r="H234" s="194">
        <f t="shared" si="48"/>
        <v>3500</v>
      </c>
      <c r="I234" s="195">
        <f t="shared" si="48"/>
        <v>0</v>
      </c>
      <c r="J234" s="194">
        <f>J235</f>
        <v>0</v>
      </c>
      <c r="K234" s="195">
        <f t="shared" si="48"/>
        <v>0</v>
      </c>
      <c r="L234" s="194">
        <f t="shared" si="48"/>
        <v>3500</v>
      </c>
      <c r="M234" s="194">
        <f t="shared" si="48"/>
        <v>0</v>
      </c>
      <c r="N234" s="194">
        <f t="shared" si="48"/>
        <v>3500</v>
      </c>
      <c r="O234" s="178"/>
      <c r="P234" s="92"/>
    </row>
    <row r="235" spans="1:16" ht="31.5" x14ac:dyDescent="0.2">
      <c r="A235" s="42"/>
      <c r="B235" s="168" t="s">
        <v>252</v>
      </c>
      <c r="C235" s="169" t="s">
        <v>253</v>
      </c>
      <c r="D235" s="170" t="s">
        <v>26</v>
      </c>
      <c r="E235" s="171"/>
      <c r="F235" s="172">
        <f t="shared" si="48"/>
        <v>3500</v>
      </c>
      <c r="G235" s="172">
        <f t="shared" si="48"/>
        <v>0</v>
      </c>
      <c r="H235" s="172">
        <f t="shared" si="48"/>
        <v>3500</v>
      </c>
      <c r="I235" s="188">
        <f t="shared" si="48"/>
        <v>0</v>
      </c>
      <c r="J235" s="189"/>
      <c r="K235" s="188">
        <f t="shared" si="48"/>
        <v>0</v>
      </c>
      <c r="L235" s="172">
        <f t="shared" si="48"/>
        <v>3500</v>
      </c>
      <c r="M235" s="172">
        <f t="shared" si="48"/>
        <v>0</v>
      </c>
      <c r="N235" s="172">
        <f t="shared" si="48"/>
        <v>3500</v>
      </c>
      <c r="O235" s="178"/>
      <c r="P235" s="92"/>
    </row>
    <row r="236" spans="1:16" ht="31.5" x14ac:dyDescent="0.2">
      <c r="A236" s="42"/>
      <c r="B236" s="168" t="s">
        <v>254</v>
      </c>
      <c r="C236" s="169" t="s">
        <v>255</v>
      </c>
      <c r="D236" s="170" t="s">
        <v>26</v>
      </c>
      <c r="E236" s="171"/>
      <c r="F236" s="172">
        <f t="shared" si="48"/>
        <v>3500</v>
      </c>
      <c r="G236" s="172">
        <f t="shared" si="48"/>
        <v>0</v>
      </c>
      <c r="H236" s="172">
        <f t="shared" si="48"/>
        <v>3500</v>
      </c>
      <c r="I236" s="188">
        <f t="shared" si="48"/>
        <v>0</v>
      </c>
      <c r="J236" s="189"/>
      <c r="K236" s="188">
        <f t="shared" si="48"/>
        <v>0</v>
      </c>
      <c r="L236" s="172">
        <f t="shared" si="48"/>
        <v>3500</v>
      </c>
      <c r="M236" s="172">
        <f t="shared" si="48"/>
        <v>0</v>
      </c>
      <c r="N236" s="172">
        <f t="shared" si="48"/>
        <v>3500</v>
      </c>
      <c r="O236" s="178"/>
      <c r="P236" s="92"/>
    </row>
    <row r="237" spans="1:16" ht="31.5" x14ac:dyDescent="0.2">
      <c r="A237" s="42"/>
      <c r="B237" s="168" t="s">
        <v>35</v>
      </c>
      <c r="C237" s="169" t="s">
        <v>255</v>
      </c>
      <c r="D237" s="170" t="s">
        <v>36</v>
      </c>
      <c r="E237" s="171"/>
      <c r="F237" s="172">
        <v>3500</v>
      </c>
      <c r="G237" s="172"/>
      <c r="H237" s="172">
        <v>3500</v>
      </c>
      <c r="I237" s="188">
        <v>0</v>
      </c>
      <c r="J237" s="189"/>
      <c r="K237" s="188">
        <v>0</v>
      </c>
      <c r="L237" s="172">
        <v>3500</v>
      </c>
      <c r="M237" s="172"/>
      <c r="N237" s="172">
        <v>3500</v>
      </c>
      <c r="O237" s="178"/>
      <c r="P237" s="92"/>
    </row>
    <row r="238" spans="1:16" ht="18.75" x14ac:dyDescent="0.2">
      <c r="A238" s="49"/>
      <c r="B238" s="190" t="s">
        <v>256</v>
      </c>
      <c r="C238" s="191" t="s">
        <v>257</v>
      </c>
      <c r="D238" s="192" t="s">
        <v>26</v>
      </c>
      <c r="E238" s="193"/>
      <c r="F238" s="194">
        <f t="shared" ref="F238:N240" si="49">F239</f>
        <v>1966</v>
      </c>
      <c r="G238" s="194">
        <f t="shared" si="49"/>
        <v>0</v>
      </c>
      <c r="H238" s="194">
        <f t="shared" si="49"/>
        <v>1966</v>
      </c>
      <c r="I238" s="195">
        <f t="shared" si="49"/>
        <v>0</v>
      </c>
      <c r="J238" s="194">
        <f>J239</f>
        <v>0</v>
      </c>
      <c r="K238" s="195">
        <f t="shared" si="49"/>
        <v>0</v>
      </c>
      <c r="L238" s="194">
        <f t="shared" si="49"/>
        <v>1966</v>
      </c>
      <c r="M238" s="194">
        <f t="shared" si="49"/>
        <v>0</v>
      </c>
      <c r="N238" s="194">
        <f t="shared" si="49"/>
        <v>1966</v>
      </c>
      <c r="O238" s="178"/>
      <c r="P238" s="92"/>
    </row>
    <row r="239" spans="1:16" ht="31.5" x14ac:dyDescent="0.2">
      <c r="A239" s="42"/>
      <c r="B239" s="168" t="s">
        <v>258</v>
      </c>
      <c r="C239" s="169" t="s">
        <v>259</v>
      </c>
      <c r="D239" s="170" t="s">
        <v>26</v>
      </c>
      <c r="E239" s="171"/>
      <c r="F239" s="172">
        <f t="shared" si="49"/>
        <v>1966</v>
      </c>
      <c r="G239" s="172">
        <f t="shared" si="49"/>
        <v>0</v>
      </c>
      <c r="H239" s="172">
        <f t="shared" si="49"/>
        <v>1966</v>
      </c>
      <c r="I239" s="188">
        <f t="shared" si="49"/>
        <v>0</v>
      </c>
      <c r="J239" s="189"/>
      <c r="K239" s="188">
        <f t="shared" si="49"/>
        <v>0</v>
      </c>
      <c r="L239" s="172">
        <f t="shared" si="49"/>
        <v>1966</v>
      </c>
      <c r="M239" s="172">
        <f t="shared" si="49"/>
        <v>0</v>
      </c>
      <c r="N239" s="172">
        <f t="shared" si="49"/>
        <v>1966</v>
      </c>
      <c r="O239" s="178"/>
      <c r="P239" s="92"/>
    </row>
    <row r="240" spans="1:16" ht="31.5" x14ac:dyDescent="0.2">
      <c r="A240" s="42"/>
      <c r="B240" s="168" t="s">
        <v>254</v>
      </c>
      <c r="C240" s="169" t="s">
        <v>260</v>
      </c>
      <c r="D240" s="170" t="s">
        <v>26</v>
      </c>
      <c r="E240" s="171"/>
      <c r="F240" s="172">
        <f t="shared" si="49"/>
        <v>1966</v>
      </c>
      <c r="G240" s="172">
        <f t="shared" si="49"/>
        <v>0</v>
      </c>
      <c r="H240" s="172">
        <f t="shared" si="49"/>
        <v>1966</v>
      </c>
      <c r="I240" s="188">
        <f t="shared" si="49"/>
        <v>0</v>
      </c>
      <c r="J240" s="189"/>
      <c r="K240" s="188">
        <f t="shared" si="49"/>
        <v>0</v>
      </c>
      <c r="L240" s="172">
        <f t="shared" si="49"/>
        <v>1966</v>
      </c>
      <c r="M240" s="172">
        <f t="shared" si="49"/>
        <v>0</v>
      </c>
      <c r="N240" s="172">
        <f t="shared" si="49"/>
        <v>1966</v>
      </c>
      <c r="O240" s="178"/>
      <c r="P240" s="92"/>
    </row>
    <row r="241" spans="1:17" ht="63" x14ac:dyDescent="0.2">
      <c r="A241" s="42"/>
      <c r="B241" s="168" t="s">
        <v>261</v>
      </c>
      <c r="C241" s="169" t="s">
        <v>260</v>
      </c>
      <c r="D241" s="170" t="s">
        <v>36</v>
      </c>
      <c r="E241" s="171"/>
      <c r="F241" s="172">
        <v>1966</v>
      </c>
      <c r="G241" s="172"/>
      <c r="H241" s="172">
        <f>SUM(F241)</f>
        <v>1966</v>
      </c>
      <c r="I241" s="188">
        <v>0</v>
      </c>
      <c r="J241" s="189"/>
      <c r="K241" s="188">
        <v>0</v>
      </c>
      <c r="L241" s="172">
        <f>SUM(F241)</f>
        <v>1966</v>
      </c>
      <c r="M241" s="172">
        <f>SUM(G241)</f>
        <v>0</v>
      </c>
      <c r="N241" s="172">
        <f>SUM(H241)</f>
        <v>1966</v>
      </c>
      <c r="O241" s="178"/>
      <c r="P241" s="92"/>
    </row>
    <row r="242" spans="1:17" ht="31.5" x14ac:dyDescent="0.2">
      <c r="A242" s="19" t="s">
        <v>262</v>
      </c>
      <c r="B242" s="182" t="s">
        <v>263</v>
      </c>
      <c r="C242" s="183" t="s">
        <v>264</v>
      </c>
      <c r="D242" s="184" t="s">
        <v>26</v>
      </c>
      <c r="E242" s="185"/>
      <c r="F242" s="186">
        <f t="shared" ref="F242:N242" si="50">F243+F265+F269+F275+F279</f>
        <v>44675.600000000006</v>
      </c>
      <c r="G242" s="186">
        <f t="shared" si="50"/>
        <v>400</v>
      </c>
      <c r="H242" s="186">
        <f t="shared" si="50"/>
        <v>45075.600000000006</v>
      </c>
      <c r="I242" s="187">
        <f t="shared" si="50"/>
        <v>0</v>
      </c>
      <c r="J242" s="186">
        <f t="shared" si="50"/>
        <v>0</v>
      </c>
      <c r="K242" s="187">
        <f t="shared" si="50"/>
        <v>0</v>
      </c>
      <c r="L242" s="186">
        <f t="shared" si="50"/>
        <v>44675.600000000006</v>
      </c>
      <c r="M242" s="186">
        <f t="shared" si="50"/>
        <v>400</v>
      </c>
      <c r="N242" s="186">
        <f t="shared" si="50"/>
        <v>45075.600000000006</v>
      </c>
      <c r="O242" s="178"/>
      <c r="P242" s="92"/>
      <c r="Q242" s="25"/>
    </row>
    <row r="243" spans="1:17" ht="49.9" customHeight="1" x14ac:dyDescent="0.2">
      <c r="A243" s="49"/>
      <c r="B243" s="190" t="s">
        <v>265</v>
      </c>
      <c r="C243" s="191" t="s">
        <v>266</v>
      </c>
      <c r="D243" s="192" t="s">
        <v>26</v>
      </c>
      <c r="E243" s="193"/>
      <c r="F243" s="194">
        <f t="shared" ref="F243:N243" si="51">F244+F255+F258</f>
        <v>34499.4</v>
      </c>
      <c r="G243" s="194">
        <f t="shared" si="51"/>
        <v>0</v>
      </c>
      <c r="H243" s="194">
        <f t="shared" si="51"/>
        <v>34499.4</v>
      </c>
      <c r="I243" s="195">
        <f t="shared" si="51"/>
        <v>0</v>
      </c>
      <c r="J243" s="194">
        <f t="shared" si="51"/>
        <v>0</v>
      </c>
      <c r="K243" s="195">
        <f t="shared" si="51"/>
        <v>0</v>
      </c>
      <c r="L243" s="194">
        <f t="shared" si="51"/>
        <v>34499.4</v>
      </c>
      <c r="M243" s="194">
        <f t="shared" si="51"/>
        <v>0</v>
      </c>
      <c r="N243" s="194">
        <f t="shared" si="51"/>
        <v>34499.4</v>
      </c>
      <c r="O243" s="178"/>
      <c r="P243" s="92"/>
      <c r="Q243" s="55"/>
    </row>
    <row r="244" spans="1:17" ht="50.45" customHeight="1" x14ac:dyDescent="0.2">
      <c r="A244" s="42"/>
      <c r="B244" s="168" t="s">
        <v>267</v>
      </c>
      <c r="C244" s="169" t="s">
        <v>268</v>
      </c>
      <c r="D244" s="170" t="s">
        <v>26</v>
      </c>
      <c r="E244" s="171"/>
      <c r="F244" s="172">
        <f>F245+F249+F253+F251</f>
        <v>19398.7</v>
      </c>
      <c r="G244" s="172">
        <f>G245+G249+G253+G251</f>
        <v>0</v>
      </c>
      <c r="H244" s="172">
        <f>H245+H249+H253+H251</f>
        <v>19398.7</v>
      </c>
      <c r="I244" s="188">
        <f>I245+I249+I253</f>
        <v>0</v>
      </c>
      <c r="J244" s="189"/>
      <c r="K244" s="188">
        <f>K245+K249+K253</f>
        <v>0</v>
      </c>
      <c r="L244" s="172">
        <f>L245+L249+L253+L251</f>
        <v>19398.7</v>
      </c>
      <c r="M244" s="172">
        <f>M245+M249+M253+M251</f>
        <v>0</v>
      </c>
      <c r="N244" s="172">
        <f>N245+N249+N253+N251</f>
        <v>19398.7</v>
      </c>
      <c r="O244" s="178"/>
      <c r="P244" s="92"/>
      <c r="Q244" s="48"/>
    </row>
    <row r="245" spans="1:17" ht="31.5" x14ac:dyDescent="0.2">
      <c r="A245" s="42"/>
      <c r="B245" s="168" t="s">
        <v>39</v>
      </c>
      <c r="C245" s="169" t="s">
        <v>269</v>
      </c>
      <c r="D245" s="170" t="s">
        <v>26</v>
      </c>
      <c r="E245" s="171"/>
      <c r="F245" s="172">
        <f>F246+F247+F248</f>
        <v>11968.5</v>
      </c>
      <c r="G245" s="172">
        <f>SUM(G247)+G246</f>
        <v>0</v>
      </c>
      <c r="H245" s="172">
        <f>H246+H247+H248</f>
        <v>11968.5</v>
      </c>
      <c r="I245" s="188">
        <f>I246+I247+I248</f>
        <v>0</v>
      </c>
      <c r="J245" s="189"/>
      <c r="K245" s="188">
        <f>K246+K247+K248</f>
        <v>0</v>
      </c>
      <c r="L245" s="172">
        <f>L246+L247+L248</f>
        <v>11968.5</v>
      </c>
      <c r="M245" s="172">
        <f>SUM(G245)</f>
        <v>0</v>
      </c>
      <c r="N245" s="172">
        <f>N246+N247+N248</f>
        <v>11968.5</v>
      </c>
      <c r="O245" s="178"/>
      <c r="P245" s="92"/>
    </row>
    <row r="246" spans="1:17" ht="64.900000000000006" customHeight="1" x14ac:dyDescent="0.2">
      <c r="A246" s="42"/>
      <c r="B246" s="168" t="s">
        <v>31</v>
      </c>
      <c r="C246" s="169" t="s">
        <v>269</v>
      </c>
      <c r="D246" s="170" t="s">
        <v>32</v>
      </c>
      <c r="E246" s="171"/>
      <c r="F246" s="172">
        <v>10420.200000000001</v>
      </c>
      <c r="G246" s="172"/>
      <c r="H246" s="172">
        <f>SUM(F246)</f>
        <v>10420.200000000001</v>
      </c>
      <c r="I246" s="188">
        <v>0</v>
      </c>
      <c r="J246" s="189"/>
      <c r="K246" s="188">
        <v>0</v>
      </c>
      <c r="L246" s="172">
        <f t="shared" ref="L246:N247" si="52">SUM(F246)</f>
        <v>10420.200000000001</v>
      </c>
      <c r="M246" s="172">
        <f t="shared" si="52"/>
        <v>0</v>
      </c>
      <c r="N246" s="172">
        <f t="shared" si="52"/>
        <v>10420.200000000001</v>
      </c>
      <c r="O246" s="178"/>
      <c r="P246" s="92"/>
    </row>
    <row r="247" spans="1:17" ht="31.5" x14ac:dyDescent="0.2">
      <c r="A247" s="42"/>
      <c r="B247" s="168" t="s">
        <v>35</v>
      </c>
      <c r="C247" s="169" t="s">
        <v>269</v>
      </c>
      <c r="D247" s="170" t="s">
        <v>36</v>
      </c>
      <c r="E247" s="171"/>
      <c r="F247" s="172">
        <v>1525.3</v>
      </c>
      <c r="G247" s="172"/>
      <c r="H247" s="172">
        <v>1525.3</v>
      </c>
      <c r="I247" s="188">
        <v>0</v>
      </c>
      <c r="J247" s="189"/>
      <c r="K247" s="188">
        <v>0</v>
      </c>
      <c r="L247" s="172">
        <f t="shared" si="52"/>
        <v>1525.3</v>
      </c>
      <c r="M247" s="172">
        <f t="shared" si="52"/>
        <v>0</v>
      </c>
      <c r="N247" s="172">
        <f t="shared" si="52"/>
        <v>1525.3</v>
      </c>
      <c r="O247" s="178"/>
      <c r="P247" s="92"/>
    </row>
    <row r="248" spans="1:17" ht="18.75" x14ac:dyDescent="0.2">
      <c r="A248" s="42"/>
      <c r="B248" s="168" t="s">
        <v>41</v>
      </c>
      <c r="C248" s="169" t="s">
        <v>269</v>
      </c>
      <c r="D248" s="170" t="s">
        <v>42</v>
      </c>
      <c r="E248" s="171"/>
      <c r="F248" s="172">
        <v>23</v>
      </c>
      <c r="G248" s="172"/>
      <c r="H248" s="172">
        <v>23</v>
      </c>
      <c r="I248" s="188">
        <v>0</v>
      </c>
      <c r="J248" s="189"/>
      <c r="K248" s="188">
        <v>0</v>
      </c>
      <c r="L248" s="172">
        <v>23</v>
      </c>
      <c r="M248" s="172"/>
      <c r="N248" s="172">
        <v>23</v>
      </c>
      <c r="O248" s="178"/>
      <c r="P248" s="92"/>
    </row>
    <row r="249" spans="1:17" ht="48.6" customHeight="1" x14ac:dyDescent="0.2">
      <c r="A249" s="42"/>
      <c r="B249" s="168" t="s">
        <v>270</v>
      </c>
      <c r="C249" s="169" t="s">
        <v>271</v>
      </c>
      <c r="D249" s="170" t="s">
        <v>26</v>
      </c>
      <c r="E249" s="171"/>
      <c r="F249" s="172">
        <f>F250</f>
        <v>5230.2</v>
      </c>
      <c r="G249" s="172">
        <f>G250</f>
        <v>0</v>
      </c>
      <c r="H249" s="172">
        <f>H250</f>
        <v>5230.2</v>
      </c>
      <c r="I249" s="188">
        <f>I250</f>
        <v>0</v>
      </c>
      <c r="J249" s="189"/>
      <c r="K249" s="188">
        <f>K250</f>
        <v>0</v>
      </c>
      <c r="L249" s="172">
        <f>L250</f>
        <v>5230.2</v>
      </c>
      <c r="M249" s="172">
        <f>M250</f>
        <v>0</v>
      </c>
      <c r="N249" s="172">
        <f>N250</f>
        <v>5230.2</v>
      </c>
      <c r="O249" s="178"/>
      <c r="P249" s="92"/>
    </row>
    <row r="250" spans="1:17" ht="31.5" x14ac:dyDescent="0.2">
      <c r="A250" s="42"/>
      <c r="B250" s="168" t="s">
        <v>35</v>
      </c>
      <c r="C250" s="169" t="s">
        <v>271</v>
      </c>
      <c r="D250" s="170" t="s">
        <v>36</v>
      </c>
      <c r="E250" s="171"/>
      <c r="F250" s="172">
        <v>5230.2</v>
      </c>
      <c r="G250" s="172"/>
      <c r="H250" s="172">
        <f>SUM(F250)+G250</f>
        <v>5230.2</v>
      </c>
      <c r="I250" s="188">
        <v>0</v>
      </c>
      <c r="J250" s="189"/>
      <c r="K250" s="188">
        <v>0</v>
      </c>
      <c r="L250" s="172">
        <f t="shared" ref="L250:N252" si="53">SUM(F250)</f>
        <v>5230.2</v>
      </c>
      <c r="M250" s="172">
        <f t="shared" si="53"/>
        <v>0</v>
      </c>
      <c r="N250" s="172">
        <f t="shared" si="53"/>
        <v>5230.2</v>
      </c>
      <c r="O250" s="178"/>
      <c r="P250" s="92"/>
    </row>
    <row r="251" spans="1:17" ht="28.5" customHeight="1" x14ac:dyDescent="0.2">
      <c r="A251" s="42"/>
      <c r="B251" s="213" t="s">
        <v>456</v>
      </c>
      <c r="C251" s="169" t="s">
        <v>455</v>
      </c>
      <c r="D251" s="170"/>
      <c r="E251" s="171"/>
      <c r="F251" s="172">
        <v>1200</v>
      </c>
      <c r="G251" s="172"/>
      <c r="H251" s="172">
        <v>1200</v>
      </c>
      <c r="I251" s="188"/>
      <c r="J251" s="189"/>
      <c r="K251" s="188"/>
      <c r="L251" s="172">
        <f t="shared" si="53"/>
        <v>1200</v>
      </c>
      <c r="M251" s="172">
        <f t="shared" si="53"/>
        <v>0</v>
      </c>
      <c r="N251" s="172">
        <f t="shared" si="53"/>
        <v>1200</v>
      </c>
      <c r="O251" s="178"/>
      <c r="P251" s="92"/>
    </row>
    <row r="252" spans="1:17" ht="31.5" x14ac:dyDescent="0.2">
      <c r="A252" s="42"/>
      <c r="B252" s="168" t="s">
        <v>35</v>
      </c>
      <c r="C252" s="169" t="s">
        <v>455</v>
      </c>
      <c r="D252" s="170" t="s">
        <v>36</v>
      </c>
      <c r="E252" s="171"/>
      <c r="F252" s="172">
        <v>1200</v>
      </c>
      <c r="G252" s="172"/>
      <c r="H252" s="172">
        <v>1200</v>
      </c>
      <c r="I252" s="188"/>
      <c r="J252" s="189"/>
      <c r="K252" s="188"/>
      <c r="L252" s="172">
        <f t="shared" si="53"/>
        <v>1200</v>
      </c>
      <c r="M252" s="172">
        <f t="shared" si="53"/>
        <v>0</v>
      </c>
      <c r="N252" s="172">
        <f t="shared" si="53"/>
        <v>1200</v>
      </c>
      <c r="O252" s="178"/>
      <c r="P252" s="92"/>
    </row>
    <row r="253" spans="1:17" ht="47.25" x14ac:dyDescent="0.2">
      <c r="A253" s="42"/>
      <c r="B253" s="168" t="s">
        <v>272</v>
      </c>
      <c r="C253" s="169" t="s">
        <v>273</v>
      </c>
      <c r="D253" s="170" t="s">
        <v>26</v>
      </c>
      <c r="E253" s="171"/>
      <c r="F253" s="172">
        <f>F254</f>
        <v>1000</v>
      </c>
      <c r="G253" s="172">
        <f>G254</f>
        <v>0</v>
      </c>
      <c r="H253" s="172">
        <f>H254</f>
        <v>1000</v>
      </c>
      <c r="I253" s="188">
        <f>I254</f>
        <v>0</v>
      </c>
      <c r="J253" s="189"/>
      <c r="K253" s="188">
        <f>K254</f>
        <v>0</v>
      </c>
      <c r="L253" s="172">
        <f>L254</f>
        <v>1000</v>
      </c>
      <c r="M253" s="172">
        <f>M254</f>
        <v>0</v>
      </c>
      <c r="N253" s="172">
        <f>N254</f>
        <v>1000</v>
      </c>
      <c r="O253" s="178"/>
      <c r="P253" s="92"/>
    </row>
    <row r="254" spans="1:17" ht="31.5" x14ac:dyDescent="0.2">
      <c r="A254" s="42"/>
      <c r="B254" s="168" t="s">
        <v>35</v>
      </c>
      <c r="C254" s="169" t="s">
        <v>273</v>
      </c>
      <c r="D254" s="170" t="s">
        <v>36</v>
      </c>
      <c r="E254" s="171"/>
      <c r="F254" s="172">
        <v>1000</v>
      </c>
      <c r="G254" s="172"/>
      <c r="H254" s="172">
        <v>1000</v>
      </c>
      <c r="I254" s="188">
        <v>0</v>
      </c>
      <c r="J254" s="189"/>
      <c r="K254" s="188">
        <v>0</v>
      </c>
      <c r="L254" s="172">
        <v>1000</v>
      </c>
      <c r="M254" s="172"/>
      <c r="N254" s="172">
        <v>1000</v>
      </c>
      <c r="O254" s="178"/>
      <c r="P254" s="92"/>
    </row>
    <row r="255" spans="1:17" ht="31.5" x14ac:dyDescent="0.2">
      <c r="A255" s="42"/>
      <c r="B255" s="168" t="s">
        <v>274</v>
      </c>
      <c r="C255" s="169" t="s">
        <v>275</v>
      </c>
      <c r="D255" s="170" t="s">
        <v>26</v>
      </c>
      <c r="E255" s="171"/>
      <c r="F255" s="172">
        <f t="shared" ref="F255:N256" si="54">F256</f>
        <v>13584.1</v>
      </c>
      <c r="G255" s="172">
        <f t="shared" si="54"/>
        <v>0</v>
      </c>
      <c r="H255" s="172">
        <f t="shared" si="54"/>
        <v>13584.1</v>
      </c>
      <c r="I255" s="188">
        <f t="shared" si="54"/>
        <v>0</v>
      </c>
      <c r="J255" s="189"/>
      <c r="K255" s="188">
        <f t="shared" si="54"/>
        <v>0</v>
      </c>
      <c r="L255" s="172">
        <f t="shared" si="54"/>
        <v>13584.1</v>
      </c>
      <c r="M255" s="172">
        <f t="shared" si="54"/>
        <v>0</v>
      </c>
      <c r="N255" s="172">
        <f t="shared" si="54"/>
        <v>13584.1</v>
      </c>
      <c r="O255" s="178"/>
      <c r="P255" s="92"/>
    </row>
    <row r="256" spans="1:17" ht="78.75" x14ac:dyDescent="0.2">
      <c r="A256" s="42"/>
      <c r="B256" s="168" t="s">
        <v>276</v>
      </c>
      <c r="C256" s="169" t="s">
        <v>277</v>
      </c>
      <c r="D256" s="170" t="s">
        <v>26</v>
      </c>
      <c r="E256" s="171"/>
      <c r="F256" s="172">
        <f t="shared" si="54"/>
        <v>13584.1</v>
      </c>
      <c r="G256" s="172">
        <f t="shared" si="54"/>
        <v>0</v>
      </c>
      <c r="H256" s="172">
        <f t="shared" si="54"/>
        <v>13584.1</v>
      </c>
      <c r="I256" s="188">
        <f t="shared" si="54"/>
        <v>0</v>
      </c>
      <c r="J256" s="189"/>
      <c r="K256" s="188">
        <f t="shared" si="54"/>
        <v>0</v>
      </c>
      <c r="L256" s="172">
        <f t="shared" si="54"/>
        <v>13584.1</v>
      </c>
      <c r="M256" s="172">
        <f t="shared" si="54"/>
        <v>0</v>
      </c>
      <c r="N256" s="172">
        <f t="shared" si="54"/>
        <v>13584.1</v>
      </c>
      <c r="O256" s="178"/>
      <c r="P256" s="92"/>
    </row>
    <row r="257" spans="1:16" ht="18.75" x14ac:dyDescent="0.2">
      <c r="A257" s="42"/>
      <c r="B257" s="168" t="s">
        <v>278</v>
      </c>
      <c r="C257" s="169" t="s">
        <v>277</v>
      </c>
      <c r="D257" s="170" t="s">
        <v>279</v>
      </c>
      <c r="E257" s="171"/>
      <c r="F257" s="172">
        <f>13584.2-0.1</f>
        <v>13584.1</v>
      </c>
      <c r="G257" s="172"/>
      <c r="H257" s="172">
        <f>13584.2-0.1</f>
        <v>13584.1</v>
      </c>
      <c r="I257" s="188">
        <v>0</v>
      </c>
      <c r="J257" s="189"/>
      <c r="K257" s="188">
        <v>0</v>
      </c>
      <c r="L257" s="172">
        <f>13584.2-0.1</f>
        <v>13584.1</v>
      </c>
      <c r="M257" s="172"/>
      <c r="N257" s="172">
        <f>13584.2-0.1</f>
        <v>13584.1</v>
      </c>
      <c r="O257" s="178"/>
      <c r="P257" s="92"/>
    </row>
    <row r="258" spans="1:16" ht="47.25" x14ac:dyDescent="0.2">
      <c r="A258" s="42"/>
      <c r="B258" s="168" t="s">
        <v>280</v>
      </c>
      <c r="C258" s="169" t="s">
        <v>281</v>
      </c>
      <c r="D258" s="170" t="s">
        <v>26</v>
      </c>
      <c r="E258" s="171"/>
      <c r="F258" s="172">
        <f t="shared" ref="F258:N259" si="55">F259</f>
        <v>1516.6000000000001</v>
      </c>
      <c r="G258" s="172">
        <f t="shared" si="55"/>
        <v>0</v>
      </c>
      <c r="H258" s="172">
        <f t="shared" si="55"/>
        <v>1516.6000000000001</v>
      </c>
      <c r="I258" s="188">
        <f t="shared" si="55"/>
        <v>0</v>
      </c>
      <c r="J258" s="189"/>
      <c r="K258" s="188">
        <f t="shared" si="55"/>
        <v>0</v>
      </c>
      <c r="L258" s="172">
        <f t="shared" si="55"/>
        <v>1516.6000000000001</v>
      </c>
      <c r="M258" s="172">
        <f t="shared" si="55"/>
        <v>0</v>
      </c>
      <c r="N258" s="172">
        <f t="shared" si="55"/>
        <v>1516.6000000000001</v>
      </c>
      <c r="O258" s="178"/>
      <c r="P258" s="92"/>
    </row>
    <row r="259" spans="1:16" ht="67.900000000000006" customHeight="1" x14ac:dyDescent="0.2">
      <c r="A259" s="42"/>
      <c r="B259" s="168" t="s">
        <v>282</v>
      </c>
      <c r="C259" s="169" t="s">
        <v>283</v>
      </c>
      <c r="D259" s="170" t="s">
        <v>26</v>
      </c>
      <c r="E259" s="171"/>
      <c r="F259" s="172">
        <f t="shared" si="55"/>
        <v>1516.6000000000001</v>
      </c>
      <c r="G259" s="172">
        <f t="shared" si="55"/>
        <v>0</v>
      </c>
      <c r="H259" s="172">
        <f t="shared" si="55"/>
        <v>1516.6000000000001</v>
      </c>
      <c r="I259" s="188">
        <f t="shared" si="55"/>
        <v>0</v>
      </c>
      <c r="J259" s="189"/>
      <c r="K259" s="188">
        <f t="shared" si="55"/>
        <v>0</v>
      </c>
      <c r="L259" s="172">
        <f t="shared" si="55"/>
        <v>1516.6000000000001</v>
      </c>
      <c r="M259" s="172">
        <f t="shared" si="55"/>
        <v>0</v>
      </c>
      <c r="N259" s="172">
        <f t="shared" si="55"/>
        <v>1516.6000000000001</v>
      </c>
      <c r="O259" s="178"/>
      <c r="P259" s="92"/>
    </row>
    <row r="260" spans="1:16" ht="18.75" x14ac:dyDescent="0.2">
      <c r="A260" s="42"/>
      <c r="B260" s="168" t="s">
        <v>278</v>
      </c>
      <c r="C260" s="169" t="s">
        <v>283</v>
      </c>
      <c r="D260" s="170" t="s">
        <v>279</v>
      </c>
      <c r="E260" s="171"/>
      <c r="F260" s="172">
        <f>1516.7-0.1</f>
        <v>1516.6000000000001</v>
      </c>
      <c r="G260" s="172"/>
      <c r="H260" s="172">
        <f>1516.7-0.1</f>
        <v>1516.6000000000001</v>
      </c>
      <c r="I260" s="188">
        <v>0</v>
      </c>
      <c r="J260" s="189"/>
      <c r="K260" s="188">
        <v>0</v>
      </c>
      <c r="L260" s="172">
        <f>1516.7-0.1</f>
        <v>1516.6000000000001</v>
      </c>
      <c r="M260" s="172"/>
      <c r="N260" s="172">
        <f>1516.7-0.1</f>
        <v>1516.6000000000001</v>
      </c>
      <c r="O260" s="178"/>
      <c r="P260" s="92"/>
    </row>
    <row r="261" spans="1:16" ht="0.75" customHeight="1" x14ac:dyDescent="0.2">
      <c r="A261" s="42"/>
      <c r="B261" s="168" t="s">
        <v>448</v>
      </c>
      <c r="C261" s="169" t="s">
        <v>422</v>
      </c>
      <c r="D261" s="170"/>
      <c r="E261" s="171"/>
      <c r="F261" s="172"/>
      <c r="G261" s="172"/>
      <c r="H261" s="172">
        <f>SUM(G261)</f>
        <v>0</v>
      </c>
      <c r="I261" s="188"/>
      <c r="J261" s="189"/>
      <c r="K261" s="188"/>
      <c r="L261" s="172"/>
      <c r="M261" s="172">
        <f t="shared" ref="M261:N264" si="56">SUM(G261)</f>
        <v>0</v>
      </c>
      <c r="N261" s="172">
        <f t="shared" si="56"/>
        <v>0</v>
      </c>
      <c r="O261" s="178"/>
      <c r="P261" s="92"/>
    </row>
    <row r="262" spans="1:16" ht="18.75" hidden="1" x14ac:dyDescent="0.2">
      <c r="A262" s="42"/>
      <c r="B262" s="168" t="s">
        <v>432</v>
      </c>
      <c r="C262" s="169" t="s">
        <v>433</v>
      </c>
      <c r="D262" s="170"/>
      <c r="E262" s="171"/>
      <c r="F262" s="172"/>
      <c r="G262" s="172"/>
      <c r="H262" s="172">
        <f>SUM(G262)</f>
        <v>0</v>
      </c>
      <c r="I262" s="188"/>
      <c r="J262" s="189"/>
      <c r="K262" s="188"/>
      <c r="L262" s="172"/>
      <c r="M262" s="172">
        <f t="shared" si="56"/>
        <v>0</v>
      </c>
      <c r="N262" s="172">
        <f t="shared" si="56"/>
        <v>0</v>
      </c>
      <c r="O262" s="178"/>
      <c r="P262" s="92"/>
    </row>
    <row r="263" spans="1:16" ht="31.5" hidden="1" x14ac:dyDescent="0.2">
      <c r="A263" s="42"/>
      <c r="B263" s="168" t="s">
        <v>434</v>
      </c>
      <c r="C263" s="169" t="s">
        <v>435</v>
      </c>
      <c r="D263" s="170"/>
      <c r="E263" s="171"/>
      <c r="F263" s="172"/>
      <c r="G263" s="172"/>
      <c r="H263" s="172">
        <f>SUM(G263)</f>
        <v>0</v>
      </c>
      <c r="I263" s="188"/>
      <c r="J263" s="189"/>
      <c r="K263" s="188"/>
      <c r="L263" s="172"/>
      <c r="M263" s="172">
        <f t="shared" si="56"/>
        <v>0</v>
      </c>
      <c r="N263" s="172">
        <f t="shared" si="56"/>
        <v>0</v>
      </c>
      <c r="O263" s="178"/>
      <c r="P263" s="92"/>
    </row>
    <row r="264" spans="1:16" ht="31.5" hidden="1" x14ac:dyDescent="0.2">
      <c r="A264" s="42"/>
      <c r="B264" s="168" t="s">
        <v>35</v>
      </c>
      <c r="C264" s="169" t="s">
        <v>435</v>
      </c>
      <c r="D264" s="170" t="s">
        <v>36</v>
      </c>
      <c r="E264" s="171"/>
      <c r="F264" s="172"/>
      <c r="G264" s="172"/>
      <c r="H264" s="172">
        <f>SUM(G264)</f>
        <v>0</v>
      </c>
      <c r="I264" s="188"/>
      <c r="J264" s="189"/>
      <c r="K264" s="188"/>
      <c r="L264" s="172"/>
      <c r="M264" s="172">
        <f t="shared" si="56"/>
        <v>0</v>
      </c>
      <c r="N264" s="172">
        <f t="shared" si="56"/>
        <v>0</v>
      </c>
      <c r="O264" s="178"/>
      <c r="P264" s="92"/>
    </row>
    <row r="265" spans="1:16" ht="18.75" x14ac:dyDescent="0.2">
      <c r="A265" s="49"/>
      <c r="B265" s="190" t="s">
        <v>284</v>
      </c>
      <c r="C265" s="191" t="s">
        <v>285</v>
      </c>
      <c r="D265" s="192" t="s">
        <v>26</v>
      </c>
      <c r="E265" s="193"/>
      <c r="F265" s="194">
        <f t="shared" ref="F265:N267" si="57">F266</f>
        <v>394.4</v>
      </c>
      <c r="G265" s="194">
        <f t="shared" si="57"/>
        <v>0</v>
      </c>
      <c r="H265" s="194">
        <f t="shared" si="57"/>
        <v>394.4</v>
      </c>
      <c r="I265" s="195">
        <f t="shared" si="57"/>
        <v>0</v>
      </c>
      <c r="J265" s="196"/>
      <c r="K265" s="195">
        <f t="shared" si="57"/>
        <v>0</v>
      </c>
      <c r="L265" s="194">
        <f t="shared" si="57"/>
        <v>394.4</v>
      </c>
      <c r="M265" s="194">
        <f t="shared" si="57"/>
        <v>0</v>
      </c>
      <c r="N265" s="194">
        <f t="shared" si="57"/>
        <v>394.4</v>
      </c>
      <c r="O265" s="178"/>
      <c r="P265" s="92"/>
    </row>
    <row r="266" spans="1:16" ht="31.5" x14ac:dyDescent="0.2">
      <c r="A266" s="42"/>
      <c r="B266" s="168" t="s">
        <v>286</v>
      </c>
      <c r="C266" s="169" t="s">
        <v>287</v>
      </c>
      <c r="D266" s="170" t="s">
        <v>26</v>
      </c>
      <c r="E266" s="171"/>
      <c r="F266" s="172">
        <f t="shared" si="57"/>
        <v>394.4</v>
      </c>
      <c r="G266" s="172">
        <f t="shared" si="57"/>
        <v>0</v>
      </c>
      <c r="H266" s="172">
        <f t="shared" si="57"/>
        <v>394.4</v>
      </c>
      <c r="I266" s="188">
        <f t="shared" si="57"/>
        <v>0</v>
      </c>
      <c r="J266" s="189"/>
      <c r="K266" s="188">
        <f t="shared" si="57"/>
        <v>0</v>
      </c>
      <c r="L266" s="172">
        <f t="shared" si="57"/>
        <v>394.4</v>
      </c>
      <c r="M266" s="172">
        <f t="shared" si="57"/>
        <v>0</v>
      </c>
      <c r="N266" s="172">
        <f t="shared" si="57"/>
        <v>394.4</v>
      </c>
      <c r="O266" s="178"/>
      <c r="P266" s="92"/>
    </row>
    <row r="267" spans="1:16" ht="18.75" x14ac:dyDescent="0.2">
      <c r="A267" s="42"/>
      <c r="B267" s="168" t="s">
        <v>288</v>
      </c>
      <c r="C267" s="169" t="s">
        <v>289</v>
      </c>
      <c r="D267" s="170" t="s">
        <v>26</v>
      </c>
      <c r="E267" s="171"/>
      <c r="F267" s="172">
        <f t="shared" si="57"/>
        <v>394.4</v>
      </c>
      <c r="G267" s="172">
        <f t="shared" si="57"/>
        <v>0</v>
      </c>
      <c r="H267" s="172">
        <f t="shared" si="57"/>
        <v>394.4</v>
      </c>
      <c r="I267" s="188">
        <f t="shared" si="57"/>
        <v>0</v>
      </c>
      <c r="J267" s="189"/>
      <c r="K267" s="188">
        <f t="shared" si="57"/>
        <v>0</v>
      </c>
      <c r="L267" s="172">
        <f t="shared" si="57"/>
        <v>394.4</v>
      </c>
      <c r="M267" s="172">
        <f t="shared" si="57"/>
        <v>0</v>
      </c>
      <c r="N267" s="172">
        <f t="shared" si="57"/>
        <v>394.4</v>
      </c>
      <c r="O267" s="178"/>
      <c r="P267" s="92"/>
    </row>
    <row r="268" spans="1:16" ht="31.5" x14ac:dyDescent="0.2">
      <c r="A268" s="42"/>
      <c r="B268" s="168" t="s">
        <v>35</v>
      </c>
      <c r="C268" s="169" t="s">
        <v>289</v>
      </c>
      <c r="D268" s="170" t="s">
        <v>36</v>
      </c>
      <c r="E268" s="171"/>
      <c r="F268" s="172">
        <v>394.4</v>
      </c>
      <c r="G268" s="172"/>
      <c r="H268" s="172">
        <v>394.4</v>
      </c>
      <c r="I268" s="188">
        <v>0</v>
      </c>
      <c r="J268" s="189"/>
      <c r="K268" s="188">
        <v>0</v>
      </c>
      <c r="L268" s="172">
        <f>SUM(F268)</f>
        <v>394.4</v>
      </c>
      <c r="M268" s="172">
        <f>SUM(G268)</f>
        <v>0</v>
      </c>
      <c r="N268" s="172">
        <f>SUM(H268)</f>
        <v>394.4</v>
      </c>
      <c r="O268" s="178"/>
      <c r="P268" s="92"/>
    </row>
    <row r="269" spans="1:16" ht="24.6" customHeight="1" x14ac:dyDescent="0.2">
      <c r="A269" s="49"/>
      <c r="B269" s="190" t="s">
        <v>290</v>
      </c>
      <c r="C269" s="191" t="s">
        <v>291</v>
      </c>
      <c r="D269" s="192" t="s">
        <v>26</v>
      </c>
      <c r="E269" s="193"/>
      <c r="F269" s="194">
        <f>F270</f>
        <v>6300.3</v>
      </c>
      <c r="G269" s="194">
        <f>G270</f>
        <v>400</v>
      </c>
      <c r="H269" s="194">
        <f>H270</f>
        <v>6700.3</v>
      </c>
      <c r="I269" s="195">
        <f>I270</f>
        <v>0</v>
      </c>
      <c r="J269" s="196"/>
      <c r="K269" s="195">
        <f>K270</f>
        <v>0</v>
      </c>
      <c r="L269" s="194">
        <f>L270</f>
        <v>6300.3</v>
      </c>
      <c r="M269" s="194">
        <f>M270</f>
        <v>400</v>
      </c>
      <c r="N269" s="194">
        <f>N270</f>
        <v>6700.3</v>
      </c>
      <c r="O269" s="178"/>
      <c r="P269" s="92"/>
    </row>
    <row r="270" spans="1:16" ht="36.6" customHeight="1" x14ac:dyDescent="0.2">
      <c r="A270" s="42"/>
      <c r="B270" s="168" t="s">
        <v>292</v>
      </c>
      <c r="C270" s="169" t="s">
        <v>293</v>
      </c>
      <c r="D270" s="170" t="s">
        <v>26</v>
      </c>
      <c r="E270" s="171"/>
      <c r="F270" s="172">
        <f>F271+F273</f>
        <v>6300.3</v>
      </c>
      <c r="G270" s="172">
        <f>G271+G273</f>
        <v>400</v>
      </c>
      <c r="H270" s="172">
        <f>H271+H273</f>
        <v>6700.3</v>
      </c>
      <c r="I270" s="188">
        <f>I271+I273</f>
        <v>0</v>
      </c>
      <c r="J270" s="189"/>
      <c r="K270" s="188">
        <f>K271+K273</f>
        <v>0</v>
      </c>
      <c r="L270" s="172">
        <f>L271+L273</f>
        <v>6300.3</v>
      </c>
      <c r="M270" s="172">
        <f>M271+M273</f>
        <v>400</v>
      </c>
      <c r="N270" s="172">
        <f>N271+N273</f>
        <v>6700.3</v>
      </c>
      <c r="O270" s="178"/>
      <c r="P270" s="92"/>
    </row>
    <row r="271" spans="1:16" ht="22.15" customHeight="1" x14ac:dyDescent="0.2">
      <c r="A271" s="42"/>
      <c r="B271" s="168" t="s">
        <v>294</v>
      </c>
      <c r="C271" s="169" t="s">
        <v>295</v>
      </c>
      <c r="D271" s="170" t="s">
        <v>26</v>
      </c>
      <c r="E271" s="171"/>
      <c r="F271" s="172">
        <f>F272</f>
        <v>1435.5</v>
      </c>
      <c r="G271" s="172">
        <f>G272</f>
        <v>400</v>
      </c>
      <c r="H271" s="172">
        <f>H272</f>
        <v>1835.5</v>
      </c>
      <c r="I271" s="188">
        <f>I272</f>
        <v>0</v>
      </c>
      <c r="J271" s="189"/>
      <c r="K271" s="188">
        <f>K272</f>
        <v>0</v>
      </c>
      <c r="L271" s="172">
        <f>L272</f>
        <v>1435.5</v>
      </c>
      <c r="M271" s="172">
        <f>M272</f>
        <v>400</v>
      </c>
      <c r="N271" s="172">
        <f>N272</f>
        <v>1835.5</v>
      </c>
      <c r="O271" s="178"/>
      <c r="P271" s="92"/>
    </row>
    <row r="272" spans="1:16" ht="31.5" x14ac:dyDescent="0.2">
      <c r="A272" s="42"/>
      <c r="B272" s="168" t="s">
        <v>35</v>
      </c>
      <c r="C272" s="169" t="s">
        <v>295</v>
      </c>
      <c r="D272" s="170" t="s">
        <v>36</v>
      </c>
      <c r="E272" s="171"/>
      <c r="F272" s="172">
        <v>1435.5</v>
      </c>
      <c r="G272" s="172">
        <v>400</v>
      </c>
      <c r="H272" s="172">
        <f>SUM(F272:G272)</f>
        <v>1835.5</v>
      </c>
      <c r="I272" s="188">
        <v>0</v>
      </c>
      <c r="J272" s="189"/>
      <c r="K272" s="188">
        <v>0</v>
      </c>
      <c r="L272" s="172">
        <f>SUM(F272)</f>
        <v>1435.5</v>
      </c>
      <c r="M272" s="172">
        <f>SUM(G272)</f>
        <v>400</v>
      </c>
      <c r="N272" s="172">
        <f>SUM(H272)</f>
        <v>1835.5</v>
      </c>
      <c r="O272" s="178"/>
      <c r="P272" s="92"/>
    </row>
    <row r="273" spans="1:16" ht="52.15" customHeight="1" x14ac:dyDescent="0.2">
      <c r="A273" s="42"/>
      <c r="B273" s="168" t="s">
        <v>296</v>
      </c>
      <c r="C273" s="169" t="s">
        <v>297</v>
      </c>
      <c r="D273" s="170" t="s">
        <v>26</v>
      </c>
      <c r="E273" s="171"/>
      <c r="F273" s="172">
        <f>F274</f>
        <v>4864.8</v>
      </c>
      <c r="G273" s="172">
        <f>G274</f>
        <v>0</v>
      </c>
      <c r="H273" s="172">
        <f>H274</f>
        <v>4864.8</v>
      </c>
      <c r="I273" s="188">
        <f>I274</f>
        <v>0</v>
      </c>
      <c r="J273" s="189"/>
      <c r="K273" s="188">
        <f>K274</f>
        <v>0</v>
      </c>
      <c r="L273" s="172">
        <f>L274</f>
        <v>4864.8</v>
      </c>
      <c r="M273" s="172">
        <f>M274</f>
        <v>0</v>
      </c>
      <c r="N273" s="172">
        <f>N274</f>
        <v>4864.8</v>
      </c>
      <c r="O273" s="178"/>
      <c r="P273" s="92"/>
    </row>
    <row r="274" spans="1:16" ht="18.75" x14ac:dyDescent="0.2">
      <c r="A274" s="42"/>
      <c r="B274" s="168" t="s">
        <v>278</v>
      </c>
      <c r="C274" s="169" t="s">
        <v>297</v>
      </c>
      <c r="D274" s="170" t="s">
        <v>279</v>
      </c>
      <c r="E274" s="171"/>
      <c r="F274" s="172">
        <v>4864.8</v>
      </c>
      <c r="G274" s="172"/>
      <c r="H274" s="172">
        <v>4864.8</v>
      </c>
      <c r="I274" s="188">
        <v>0</v>
      </c>
      <c r="J274" s="189"/>
      <c r="K274" s="188">
        <v>0</v>
      </c>
      <c r="L274" s="172">
        <v>4864.8</v>
      </c>
      <c r="M274" s="172"/>
      <c r="N274" s="172">
        <v>4864.8</v>
      </c>
      <c r="O274" s="178"/>
      <c r="P274" s="92"/>
    </row>
    <row r="275" spans="1:16" ht="18.75" x14ac:dyDescent="0.2">
      <c r="A275" s="49"/>
      <c r="B275" s="190" t="s">
        <v>298</v>
      </c>
      <c r="C275" s="191" t="s">
        <v>299</v>
      </c>
      <c r="D275" s="192" t="s">
        <v>26</v>
      </c>
      <c r="E275" s="193"/>
      <c r="F275" s="194">
        <f t="shared" ref="F275:N277" si="58">F276</f>
        <v>20</v>
      </c>
      <c r="G275" s="194">
        <f t="shared" si="58"/>
        <v>0</v>
      </c>
      <c r="H275" s="194">
        <f t="shared" si="58"/>
        <v>20</v>
      </c>
      <c r="I275" s="195">
        <f t="shared" si="58"/>
        <v>0</v>
      </c>
      <c r="J275" s="194">
        <f>J276</f>
        <v>0</v>
      </c>
      <c r="K275" s="195">
        <f t="shared" si="58"/>
        <v>0</v>
      </c>
      <c r="L275" s="194">
        <f t="shared" si="58"/>
        <v>20</v>
      </c>
      <c r="M275" s="194">
        <f t="shared" si="58"/>
        <v>0</v>
      </c>
      <c r="N275" s="194">
        <f t="shared" si="58"/>
        <v>20</v>
      </c>
      <c r="O275" s="178"/>
      <c r="P275" s="92"/>
    </row>
    <row r="276" spans="1:16" ht="31.5" x14ac:dyDescent="0.2">
      <c r="A276" s="42"/>
      <c r="B276" s="168" t="s">
        <v>300</v>
      </c>
      <c r="C276" s="169" t="s">
        <v>301</v>
      </c>
      <c r="D276" s="170" t="s">
        <v>26</v>
      </c>
      <c r="E276" s="171"/>
      <c r="F276" s="172">
        <f t="shared" si="58"/>
        <v>20</v>
      </c>
      <c r="G276" s="172">
        <f t="shared" si="58"/>
        <v>0</v>
      </c>
      <c r="H276" s="172">
        <f t="shared" si="58"/>
        <v>20</v>
      </c>
      <c r="I276" s="188">
        <f t="shared" si="58"/>
        <v>0</v>
      </c>
      <c r="J276" s="189"/>
      <c r="K276" s="188">
        <f t="shared" si="58"/>
        <v>0</v>
      </c>
      <c r="L276" s="172">
        <f t="shared" si="58"/>
        <v>20</v>
      </c>
      <c r="M276" s="172">
        <f t="shared" si="58"/>
        <v>0</v>
      </c>
      <c r="N276" s="172">
        <f t="shared" si="58"/>
        <v>20</v>
      </c>
      <c r="O276" s="178"/>
      <c r="P276" s="92"/>
    </row>
    <row r="277" spans="1:16" ht="18.75" x14ac:dyDescent="0.2">
      <c r="A277" s="42"/>
      <c r="B277" s="168" t="s">
        <v>302</v>
      </c>
      <c r="C277" s="169" t="s">
        <v>303</v>
      </c>
      <c r="D277" s="170" t="s">
        <v>26</v>
      </c>
      <c r="E277" s="171"/>
      <c r="F277" s="172">
        <f t="shared" si="58"/>
        <v>20</v>
      </c>
      <c r="G277" s="172">
        <f t="shared" si="58"/>
        <v>0</v>
      </c>
      <c r="H277" s="172">
        <f t="shared" si="58"/>
        <v>20</v>
      </c>
      <c r="I277" s="188">
        <f t="shared" si="58"/>
        <v>0</v>
      </c>
      <c r="J277" s="189"/>
      <c r="K277" s="188">
        <f t="shared" si="58"/>
        <v>0</v>
      </c>
      <c r="L277" s="172">
        <f t="shared" si="58"/>
        <v>20</v>
      </c>
      <c r="M277" s="172">
        <f t="shared" si="58"/>
        <v>0</v>
      </c>
      <c r="N277" s="172">
        <f t="shared" si="58"/>
        <v>20</v>
      </c>
      <c r="O277" s="178"/>
      <c r="P277" s="92"/>
    </row>
    <row r="278" spans="1:16" ht="31.5" x14ac:dyDescent="0.2">
      <c r="A278" s="42"/>
      <c r="B278" s="168" t="s">
        <v>35</v>
      </c>
      <c r="C278" s="169" t="s">
        <v>303</v>
      </c>
      <c r="D278" s="170" t="s">
        <v>36</v>
      </c>
      <c r="E278" s="171"/>
      <c r="F278" s="172">
        <v>20</v>
      </c>
      <c r="G278" s="172"/>
      <c r="H278" s="172">
        <v>20</v>
      </c>
      <c r="I278" s="188">
        <v>0</v>
      </c>
      <c r="J278" s="189"/>
      <c r="K278" s="188">
        <v>0</v>
      </c>
      <c r="L278" s="172">
        <v>20</v>
      </c>
      <c r="M278" s="172"/>
      <c r="N278" s="172">
        <v>20</v>
      </c>
      <c r="O278" s="178"/>
      <c r="P278" s="92"/>
    </row>
    <row r="279" spans="1:16" ht="18.75" x14ac:dyDescent="0.2">
      <c r="A279" s="49"/>
      <c r="B279" s="190" t="s">
        <v>140</v>
      </c>
      <c r="C279" s="191" t="s">
        <v>304</v>
      </c>
      <c r="D279" s="192" t="s">
        <v>26</v>
      </c>
      <c r="E279" s="193"/>
      <c r="F279" s="194">
        <f t="shared" ref="F279:N279" si="59">F280+F283</f>
        <v>3461.5</v>
      </c>
      <c r="G279" s="194">
        <f t="shared" si="59"/>
        <v>0</v>
      </c>
      <c r="H279" s="194">
        <f t="shared" si="59"/>
        <v>3461.5</v>
      </c>
      <c r="I279" s="195">
        <f t="shared" si="59"/>
        <v>0</v>
      </c>
      <c r="J279" s="194">
        <f t="shared" si="59"/>
        <v>0</v>
      </c>
      <c r="K279" s="195">
        <f t="shared" si="59"/>
        <v>0</v>
      </c>
      <c r="L279" s="194">
        <f t="shared" si="59"/>
        <v>3461.5</v>
      </c>
      <c r="M279" s="194">
        <f t="shared" si="59"/>
        <v>0</v>
      </c>
      <c r="N279" s="194">
        <f t="shared" si="59"/>
        <v>3461.5</v>
      </c>
      <c r="O279" s="178"/>
      <c r="P279" s="92"/>
    </row>
    <row r="280" spans="1:16" ht="30.6" customHeight="1" x14ac:dyDescent="0.2">
      <c r="A280" s="42"/>
      <c r="B280" s="168" t="s">
        <v>305</v>
      </c>
      <c r="C280" s="169" t="s">
        <v>306</v>
      </c>
      <c r="D280" s="170" t="s">
        <v>26</v>
      </c>
      <c r="E280" s="171"/>
      <c r="F280" s="172">
        <f t="shared" ref="F280:N281" si="60">F281</f>
        <v>3366.5</v>
      </c>
      <c r="G280" s="172">
        <f t="shared" si="60"/>
        <v>0</v>
      </c>
      <c r="H280" s="172">
        <f t="shared" si="60"/>
        <v>3366.5</v>
      </c>
      <c r="I280" s="188">
        <f t="shared" si="60"/>
        <v>0</v>
      </c>
      <c r="J280" s="189"/>
      <c r="K280" s="188">
        <f t="shared" si="60"/>
        <v>0</v>
      </c>
      <c r="L280" s="172">
        <f t="shared" si="60"/>
        <v>3366.5</v>
      </c>
      <c r="M280" s="172">
        <f t="shared" si="60"/>
        <v>0</v>
      </c>
      <c r="N280" s="172">
        <f t="shared" si="60"/>
        <v>3366.5</v>
      </c>
      <c r="O280" s="178"/>
      <c r="P280" s="92"/>
    </row>
    <row r="281" spans="1:16" ht="63" x14ac:dyDescent="0.2">
      <c r="A281" s="42"/>
      <c r="B281" s="168" t="s">
        <v>307</v>
      </c>
      <c r="C281" s="169" t="s">
        <v>308</v>
      </c>
      <c r="D281" s="170" t="s">
        <v>26</v>
      </c>
      <c r="E281" s="171"/>
      <c r="F281" s="172">
        <f t="shared" si="60"/>
        <v>3366.5</v>
      </c>
      <c r="G281" s="172">
        <f t="shared" si="60"/>
        <v>0</v>
      </c>
      <c r="H281" s="172">
        <f t="shared" si="60"/>
        <v>3366.5</v>
      </c>
      <c r="I281" s="188">
        <f t="shared" si="60"/>
        <v>0</v>
      </c>
      <c r="J281" s="189"/>
      <c r="K281" s="188">
        <f t="shared" si="60"/>
        <v>0</v>
      </c>
      <c r="L281" s="172">
        <f t="shared" si="60"/>
        <v>3366.5</v>
      </c>
      <c r="M281" s="172">
        <f t="shared" si="60"/>
        <v>0</v>
      </c>
      <c r="N281" s="172">
        <f t="shared" si="60"/>
        <v>3366.5</v>
      </c>
      <c r="O281" s="178"/>
      <c r="P281" s="92"/>
    </row>
    <row r="282" spans="1:16" ht="18.75" x14ac:dyDescent="0.2">
      <c r="A282" s="42"/>
      <c r="B282" s="168" t="s">
        <v>278</v>
      </c>
      <c r="C282" s="169" t="s">
        <v>308</v>
      </c>
      <c r="D282" s="170" t="s">
        <v>279</v>
      </c>
      <c r="E282" s="171"/>
      <c r="F282" s="172">
        <v>3366.5</v>
      </c>
      <c r="G282" s="172"/>
      <c r="H282" s="172">
        <v>3366.5</v>
      </c>
      <c r="I282" s="188">
        <v>0</v>
      </c>
      <c r="J282" s="189"/>
      <c r="K282" s="188">
        <v>0</v>
      </c>
      <c r="L282" s="172">
        <v>3366.5</v>
      </c>
      <c r="M282" s="172"/>
      <c r="N282" s="172">
        <v>3366.5</v>
      </c>
      <c r="O282" s="178"/>
      <c r="P282" s="92"/>
    </row>
    <row r="283" spans="1:16" ht="47.25" x14ac:dyDescent="0.2">
      <c r="A283" s="42"/>
      <c r="B283" s="168" t="s">
        <v>309</v>
      </c>
      <c r="C283" s="169" t="s">
        <v>310</v>
      </c>
      <c r="D283" s="170" t="s">
        <v>26</v>
      </c>
      <c r="E283" s="171"/>
      <c r="F283" s="172">
        <f t="shared" ref="F283:N284" si="61">F284</f>
        <v>95</v>
      </c>
      <c r="G283" s="172">
        <f t="shared" si="61"/>
        <v>0</v>
      </c>
      <c r="H283" s="172">
        <f t="shared" si="61"/>
        <v>95</v>
      </c>
      <c r="I283" s="188">
        <f t="shared" si="61"/>
        <v>0</v>
      </c>
      <c r="J283" s="189"/>
      <c r="K283" s="188">
        <f t="shared" si="61"/>
        <v>0</v>
      </c>
      <c r="L283" s="172">
        <f t="shared" si="61"/>
        <v>95</v>
      </c>
      <c r="M283" s="172">
        <f t="shared" si="61"/>
        <v>0</v>
      </c>
      <c r="N283" s="172">
        <f t="shared" si="61"/>
        <v>95</v>
      </c>
      <c r="O283" s="178"/>
      <c r="P283" s="92"/>
    </row>
    <row r="284" spans="1:16" ht="18.75" x14ac:dyDescent="0.2">
      <c r="A284" s="42"/>
      <c r="B284" s="168" t="s">
        <v>311</v>
      </c>
      <c r="C284" s="169" t="s">
        <v>312</v>
      </c>
      <c r="D284" s="170" t="s">
        <v>26</v>
      </c>
      <c r="E284" s="171"/>
      <c r="F284" s="172">
        <f t="shared" si="61"/>
        <v>95</v>
      </c>
      <c r="G284" s="172">
        <f t="shared" si="61"/>
        <v>0</v>
      </c>
      <c r="H284" s="172">
        <f t="shared" si="61"/>
        <v>95</v>
      </c>
      <c r="I284" s="188">
        <f t="shared" si="61"/>
        <v>0</v>
      </c>
      <c r="J284" s="189"/>
      <c r="K284" s="188">
        <f t="shared" si="61"/>
        <v>0</v>
      </c>
      <c r="L284" s="172">
        <f t="shared" si="61"/>
        <v>95</v>
      </c>
      <c r="M284" s="172">
        <f t="shared" si="61"/>
        <v>0</v>
      </c>
      <c r="N284" s="172">
        <f t="shared" si="61"/>
        <v>95</v>
      </c>
      <c r="O284" s="178"/>
      <c r="P284" s="92"/>
    </row>
    <row r="285" spans="1:16" ht="30" customHeight="1" x14ac:dyDescent="0.2">
      <c r="A285" s="42"/>
      <c r="B285" s="168" t="s">
        <v>35</v>
      </c>
      <c r="C285" s="169" t="s">
        <v>312</v>
      </c>
      <c r="D285" s="170" t="s">
        <v>36</v>
      </c>
      <c r="E285" s="171"/>
      <c r="F285" s="172">
        <v>95</v>
      </c>
      <c r="G285" s="172"/>
      <c r="H285" s="172">
        <v>95</v>
      </c>
      <c r="I285" s="188">
        <v>0</v>
      </c>
      <c r="J285" s="189"/>
      <c r="K285" s="188">
        <v>0</v>
      </c>
      <c r="L285" s="172">
        <v>95</v>
      </c>
      <c r="M285" s="172"/>
      <c r="N285" s="172">
        <v>95</v>
      </c>
      <c r="O285" s="178"/>
      <c r="P285" s="92"/>
    </row>
    <row r="286" spans="1:16" ht="31.5" hidden="1" x14ac:dyDescent="0.2">
      <c r="A286" s="42"/>
      <c r="B286" s="168" t="s">
        <v>448</v>
      </c>
      <c r="C286" s="169" t="s">
        <v>422</v>
      </c>
      <c r="D286" s="170"/>
      <c r="E286" s="171"/>
      <c r="F286" s="172"/>
      <c r="G286" s="172"/>
      <c r="H286" s="172">
        <f>SUM(G286)</f>
        <v>0</v>
      </c>
      <c r="I286" s="188"/>
      <c r="J286" s="189"/>
      <c r="K286" s="188"/>
      <c r="L286" s="172"/>
      <c r="M286" s="172">
        <f>SUM(G286)</f>
        <v>0</v>
      </c>
      <c r="N286" s="172">
        <f>SUM(H286)</f>
        <v>0</v>
      </c>
      <c r="O286" s="178"/>
      <c r="P286" s="92"/>
    </row>
    <row r="287" spans="1:16" ht="18.75" hidden="1" x14ac:dyDescent="0.2">
      <c r="A287" s="42"/>
      <c r="B287" s="168" t="s">
        <v>432</v>
      </c>
      <c r="C287" s="169" t="s">
        <v>433</v>
      </c>
      <c r="D287" s="170"/>
      <c r="E287" s="171"/>
      <c r="F287" s="172"/>
      <c r="G287" s="172"/>
      <c r="H287" s="172">
        <f>SUM(G287)</f>
        <v>0</v>
      </c>
      <c r="I287" s="188"/>
      <c r="J287" s="189"/>
      <c r="K287" s="188"/>
      <c r="L287" s="172"/>
      <c r="M287" s="172">
        <f>SUM(G287)</f>
        <v>0</v>
      </c>
      <c r="N287" s="172" t="s">
        <v>447</v>
      </c>
      <c r="O287" s="178"/>
      <c r="P287" s="92"/>
    </row>
    <row r="288" spans="1:16" ht="31.5" hidden="1" x14ac:dyDescent="0.2">
      <c r="A288" s="42"/>
      <c r="B288" s="168" t="s">
        <v>434</v>
      </c>
      <c r="C288" s="169" t="s">
        <v>435</v>
      </c>
      <c r="D288" s="170"/>
      <c r="E288" s="171"/>
      <c r="F288" s="172"/>
      <c r="G288" s="172"/>
      <c r="H288" s="172">
        <f>SUM(G288)</f>
        <v>0</v>
      </c>
      <c r="I288" s="188"/>
      <c r="J288" s="189"/>
      <c r="K288" s="188"/>
      <c r="L288" s="172"/>
      <c r="M288" s="172">
        <f>SUM(G289)</f>
        <v>0</v>
      </c>
      <c r="N288" s="172">
        <f>SUM(H289)</f>
        <v>0</v>
      </c>
      <c r="O288" s="178"/>
      <c r="P288" s="92"/>
    </row>
    <row r="289" spans="1:16" ht="31.5" hidden="1" x14ac:dyDescent="0.2">
      <c r="A289" s="42"/>
      <c r="B289" s="168" t="s">
        <v>35</v>
      </c>
      <c r="C289" s="169" t="s">
        <v>435</v>
      </c>
      <c r="D289" s="170" t="s">
        <v>36</v>
      </c>
      <c r="E289" s="171"/>
      <c r="F289" s="172"/>
      <c r="G289" s="172"/>
      <c r="H289" s="172">
        <f>SUM(G289)</f>
        <v>0</v>
      </c>
      <c r="I289" s="188"/>
      <c r="J289" s="189"/>
      <c r="K289" s="188"/>
      <c r="L289" s="172"/>
      <c r="M289" s="172">
        <f>SUM(G289)</f>
        <v>0</v>
      </c>
      <c r="N289" s="172">
        <f>SUM(H289)</f>
        <v>0</v>
      </c>
      <c r="O289" s="178"/>
      <c r="P289" s="92"/>
    </row>
    <row r="290" spans="1:16" ht="47.25" x14ac:dyDescent="0.2">
      <c r="A290" s="19" t="s">
        <v>313</v>
      </c>
      <c r="B290" s="182" t="s">
        <v>314</v>
      </c>
      <c r="C290" s="183" t="s">
        <v>315</v>
      </c>
      <c r="D290" s="184" t="s">
        <v>26</v>
      </c>
      <c r="E290" s="185"/>
      <c r="F290" s="186">
        <f t="shared" ref="F290:N290" si="62">F291+F300+F305</f>
        <v>5772</v>
      </c>
      <c r="G290" s="186">
        <f t="shared" si="62"/>
        <v>6.4000000000000057</v>
      </c>
      <c r="H290" s="186">
        <f t="shared" si="62"/>
        <v>5778.4</v>
      </c>
      <c r="I290" s="187">
        <f t="shared" si="62"/>
        <v>700</v>
      </c>
      <c r="J290" s="186">
        <f t="shared" si="62"/>
        <v>0</v>
      </c>
      <c r="K290" s="187">
        <f t="shared" si="62"/>
        <v>700</v>
      </c>
      <c r="L290" s="186">
        <f t="shared" si="62"/>
        <v>6472</v>
      </c>
      <c r="M290" s="186">
        <f t="shared" si="62"/>
        <v>6.4000000000000057</v>
      </c>
      <c r="N290" s="186">
        <f t="shared" si="62"/>
        <v>6478.4</v>
      </c>
      <c r="O290" s="178"/>
      <c r="P290" s="92"/>
    </row>
    <row r="291" spans="1:16" ht="31.5" x14ac:dyDescent="0.2">
      <c r="A291" s="49"/>
      <c r="B291" s="190" t="s">
        <v>316</v>
      </c>
      <c r="C291" s="191" t="s">
        <v>317</v>
      </c>
      <c r="D291" s="192" t="s">
        <v>26</v>
      </c>
      <c r="E291" s="193"/>
      <c r="F291" s="194">
        <f t="shared" ref="F291:N291" si="63">F292</f>
        <v>2722</v>
      </c>
      <c r="G291" s="194">
        <f t="shared" si="63"/>
        <v>-93.6</v>
      </c>
      <c r="H291" s="194">
        <f t="shared" si="63"/>
        <v>2628.4</v>
      </c>
      <c r="I291" s="195">
        <f t="shared" si="63"/>
        <v>600</v>
      </c>
      <c r="J291" s="194">
        <f t="shared" si="63"/>
        <v>0</v>
      </c>
      <c r="K291" s="195">
        <f t="shared" si="63"/>
        <v>600</v>
      </c>
      <c r="L291" s="194">
        <f t="shared" si="63"/>
        <v>3322</v>
      </c>
      <c r="M291" s="194">
        <f t="shared" si="63"/>
        <v>-93.6</v>
      </c>
      <c r="N291" s="194">
        <f t="shared" si="63"/>
        <v>3228.4</v>
      </c>
      <c r="O291" s="178"/>
      <c r="P291" s="92"/>
    </row>
    <row r="292" spans="1:16" ht="31.5" x14ac:dyDescent="0.2">
      <c r="A292" s="42"/>
      <c r="B292" s="168" t="s">
        <v>318</v>
      </c>
      <c r="C292" s="169" t="s">
        <v>319</v>
      </c>
      <c r="D292" s="170" t="s">
        <v>26</v>
      </c>
      <c r="E292" s="171"/>
      <c r="F292" s="172">
        <f>F293+F295</f>
        <v>2722</v>
      </c>
      <c r="G292" s="172">
        <f>G293+G295</f>
        <v>-93.6</v>
      </c>
      <c r="H292" s="172">
        <f>H293+H295</f>
        <v>2628.4</v>
      </c>
      <c r="I292" s="188">
        <f>I293+I295+I298</f>
        <v>600</v>
      </c>
      <c r="J292" s="189">
        <f>SUM(J298)</f>
        <v>0</v>
      </c>
      <c r="K292" s="189">
        <f>SUM(K298)</f>
        <v>600</v>
      </c>
      <c r="L292" s="172">
        <f>L293+L295+I292</f>
        <v>3322</v>
      </c>
      <c r="M292" s="189">
        <f>SUM(M298)+M293+M295</f>
        <v>-93.6</v>
      </c>
      <c r="N292" s="172">
        <f>N293+N295+K292</f>
        <v>3228.4</v>
      </c>
      <c r="O292" s="178"/>
      <c r="P292" s="92"/>
    </row>
    <row r="293" spans="1:16" ht="31.5" x14ac:dyDescent="0.2">
      <c r="A293" s="42"/>
      <c r="B293" s="168" t="s">
        <v>316</v>
      </c>
      <c r="C293" s="169" t="s">
        <v>320</v>
      </c>
      <c r="D293" s="170" t="s">
        <v>26</v>
      </c>
      <c r="E293" s="171"/>
      <c r="F293" s="172">
        <f>F294</f>
        <v>2412</v>
      </c>
      <c r="G293" s="172">
        <f>G294</f>
        <v>-93.6</v>
      </c>
      <c r="H293" s="172">
        <f>H294</f>
        <v>2318.4</v>
      </c>
      <c r="I293" s="188">
        <f>I294</f>
        <v>0</v>
      </c>
      <c r="J293" s="189"/>
      <c r="K293" s="188">
        <f>K294</f>
        <v>0</v>
      </c>
      <c r="L293" s="172">
        <f>L294</f>
        <v>2412</v>
      </c>
      <c r="M293" s="172">
        <f>M294</f>
        <v>-93.6</v>
      </c>
      <c r="N293" s="172">
        <f>N294</f>
        <v>2318.4</v>
      </c>
      <c r="O293" s="178"/>
      <c r="P293" s="92"/>
    </row>
    <row r="294" spans="1:16" ht="18.75" x14ac:dyDescent="0.2">
      <c r="A294" s="42"/>
      <c r="B294" s="168" t="s">
        <v>54</v>
      </c>
      <c r="C294" s="169" t="s">
        <v>320</v>
      </c>
      <c r="D294" s="170" t="s">
        <v>55</v>
      </c>
      <c r="E294" s="171"/>
      <c r="F294" s="172">
        <v>2412</v>
      </c>
      <c r="G294" s="172">
        <v>-93.6</v>
      </c>
      <c r="H294" s="172">
        <f>SUM(F294:G294)</f>
        <v>2318.4</v>
      </c>
      <c r="I294" s="188">
        <v>0</v>
      </c>
      <c r="J294" s="189"/>
      <c r="K294" s="188">
        <v>0</v>
      </c>
      <c r="L294" s="172">
        <v>2412</v>
      </c>
      <c r="M294" s="172">
        <f>G294+J294</f>
        <v>-93.6</v>
      </c>
      <c r="N294" s="172">
        <f>SUM(L294:M294)</f>
        <v>2318.4</v>
      </c>
      <c r="O294" s="178"/>
      <c r="P294" s="92"/>
    </row>
    <row r="295" spans="1:16" ht="31.5" x14ac:dyDescent="0.2">
      <c r="A295" s="42"/>
      <c r="B295" s="168" t="s">
        <v>321</v>
      </c>
      <c r="C295" s="169" t="s">
        <v>322</v>
      </c>
      <c r="D295" s="170" t="s">
        <v>26</v>
      </c>
      <c r="E295" s="171"/>
      <c r="F295" s="172">
        <f>F296+F297</f>
        <v>310</v>
      </c>
      <c r="G295" s="172">
        <f>G296+G297</f>
        <v>0</v>
      </c>
      <c r="H295" s="172">
        <f>H296+H297</f>
        <v>310</v>
      </c>
      <c r="I295" s="188">
        <f>I296+I297</f>
        <v>0</v>
      </c>
      <c r="J295" s="189"/>
      <c r="K295" s="188">
        <f>K296+K297</f>
        <v>0</v>
      </c>
      <c r="L295" s="172">
        <f>L296+L297</f>
        <v>310</v>
      </c>
      <c r="M295" s="172">
        <f>M296+M297</f>
        <v>0</v>
      </c>
      <c r="N295" s="172">
        <f>N296+N297</f>
        <v>310</v>
      </c>
      <c r="O295" s="178"/>
      <c r="P295" s="92"/>
    </row>
    <row r="296" spans="1:16" ht="31.5" x14ac:dyDescent="0.2">
      <c r="A296" s="42"/>
      <c r="B296" s="168" t="s">
        <v>35</v>
      </c>
      <c r="C296" s="169" t="s">
        <v>322</v>
      </c>
      <c r="D296" s="170" t="s">
        <v>36</v>
      </c>
      <c r="E296" s="171"/>
      <c r="F296" s="172">
        <v>300</v>
      </c>
      <c r="G296" s="172"/>
      <c r="H296" s="172">
        <v>300</v>
      </c>
      <c r="I296" s="188">
        <v>0</v>
      </c>
      <c r="J296" s="189"/>
      <c r="K296" s="188">
        <v>0</v>
      </c>
      <c r="L296" s="172">
        <v>300</v>
      </c>
      <c r="M296" s="172"/>
      <c r="N296" s="172">
        <v>300</v>
      </c>
      <c r="O296" s="178"/>
      <c r="P296" s="92"/>
    </row>
    <row r="297" spans="1:16" ht="18.75" x14ac:dyDescent="0.2">
      <c r="A297" s="42"/>
      <c r="B297" s="168" t="s">
        <v>54</v>
      </c>
      <c r="C297" s="169" t="s">
        <v>322</v>
      </c>
      <c r="D297" s="170" t="s">
        <v>55</v>
      </c>
      <c r="E297" s="171"/>
      <c r="F297" s="172">
        <v>10</v>
      </c>
      <c r="G297" s="172"/>
      <c r="H297" s="172">
        <v>10</v>
      </c>
      <c r="I297" s="188">
        <v>0</v>
      </c>
      <c r="J297" s="189"/>
      <c r="K297" s="188">
        <v>0</v>
      </c>
      <c r="L297" s="172">
        <v>10</v>
      </c>
      <c r="M297" s="172"/>
      <c r="N297" s="172">
        <v>10</v>
      </c>
      <c r="O297" s="178"/>
      <c r="P297" s="92"/>
    </row>
    <row r="298" spans="1:16" ht="31.5" x14ac:dyDescent="0.2">
      <c r="A298" s="42"/>
      <c r="B298" s="168" t="s">
        <v>468</v>
      </c>
      <c r="C298" s="169" t="s">
        <v>466</v>
      </c>
      <c r="D298" s="170"/>
      <c r="E298" s="171"/>
      <c r="F298" s="172"/>
      <c r="G298" s="172"/>
      <c r="H298" s="172"/>
      <c r="I298" s="188">
        <v>600</v>
      </c>
      <c r="J298" s="189">
        <f>SUM(J299)</f>
        <v>0</v>
      </c>
      <c r="K298" s="189">
        <f>SUM(K299)</f>
        <v>600</v>
      </c>
      <c r="L298" s="172">
        <f t="shared" ref="L298:N299" si="64">SUM(I298)</f>
        <v>600</v>
      </c>
      <c r="M298" s="172">
        <f t="shared" si="64"/>
        <v>0</v>
      </c>
      <c r="N298" s="172">
        <f t="shared" si="64"/>
        <v>600</v>
      </c>
      <c r="O298" s="178"/>
      <c r="P298" s="92"/>
    </row>
    <row r="299" spans="1:16" ht="31.5" x14ac:dyDescent="0.2">
      <c r="A299" s="42"/>
      <c r="B299" s="168" t="s">
        <v>35</v>
      </c>
      <c r="C299" s="169" t="s">
        <v>466</v>
      </c>
      <c r="D299" s="170" t="s">
        <v>36</v>
      </c>
      <c r="E299" s="171"/>
      <c r="F299" s="172"/>
      <c r="G299" s="172"/>
      <c r="H299" s="172"/>
      <c r="I299" s="188">
        <v>600</v>
      </c>
      <c r="J299" s="189"/>
      <c r="K299" s="188">
        <f>SUM(I299)</f>
        <v>600</v>
      </c>
      <c r="L299" s="172">
        <f t="shared" si="64"/>
        <v>600</v>
      </c>
      <c r="M299" s="172">
        <f t="shared" si="64"/>
        <v>0</v>
      </c>
      <c r="N299" s="172">
        <f t="shared" si="64"/>
        <v>600</v>
      </c>
      <c r="O299" s="178"/>
      <c r="P299" s="92"/>
    </row>
    <row r="300" spans="1:16" ht="31.5" x14ac:dyDescent="0.2">
      <c r="A300" s="49"/>
      <c r="B300" s="190" t="s">
        <v>323</v>
      </c>
      <c r="C300" s="191" t="s">
        <v>324</v>
      </c>
      <c r="D300" s="192" t="s">
        <v>26</v>
      </c>
      <c r="E300" s="193"/>
      <c r="F300" s="194">
        <f t="shared" ref="F300:N302" si="65">F301</f>
        <v>150</v>
      </c>
      <c r="G300" s="194">
        <f t="shared" si="65"/>
        <v>0</v>
      </c>
      <c r="H300" s="194">
        <f t="shared" si="65"/>
        <v>150</v>
      </c>
      <c r="I300" s="195">
        <f t="shared" si="65"/>
        <v>0</v>
      </c>
      <c r="J300" s="194">
        <f>J301</f>
        <v>0</v>
      </c>
      <c r="K300" s="195">
        <f t="shared" si="65"/>
        <v>0</v>
      </c>
      <c r="L300" s="194">
        <f t="shared" si="65"/>
        <v>150</v>
      </c>
      <c r="M300" s="194">
        <f t="shared" si="65"/>
        <v>0</v>
      </c>
      <c r="N300" s="194">
        <f t="shared" si="65"/>
        <v>150</v>
      </c>
      <c r="O300" s="178"/>
      <c r="P300" s="92"/>
    </row>
    <row r="301" spans="1:16" ht="47.25" x14ac:dyDescent="0.2">
      <c r="A301" s="42"/>
      <c r="B301" s="168" t="s">
        <v>325</v>
      </c>
      <c r="C301" s="169" t="s">
        <v>326</v>
      </c>
      <c r="D301" s="170" t="s">
        <v>26</v>
      </c>
      <c r="E301" s="171"/>
      <c r="F301" s="172">
        <f t="shared" si="65"/>
        <v>150</v>
      </c>
      <c r="G301" s="172">
        <f t="shared" si="65"/>
        <v>0</v>
      </c>
      <c r="H301" s="172">
        <f t="shared" si="65"/>
        <v>150</v>
      </c>
      <c r="I301" s="188">
        <f t="shared" si="65"/>
        <v>0</v>
      </c>
      <c r="J301" s="189"/>
      <c r="K301" s="188">
        <f t="shared" si="65"/>
        <v>0</v>
      </c>
      <c r="L301" s="172">
        <f t="shared" si="65"/>
        <v>150</v>
      </c>
      <c r="M301" s="172">
        <f t="shared" si="65"/>
        <v>0</v>
      </c>
      <c r="N301" s="172">
        <f t="shared" si="65"/>
        <v>150</v>
      </c>
      <c r="O301" s="178"/>
      <c r="P301" s="92"/>
    </row>
    <row r="302" spans="1:16" ht="33" customHeight="1" x14ac:dyDescent="0.2">
      <c r="A302" s="42"/>
      <c r="B302" s="168" t="s">
        <v>327</v>
      </c>
      <c r="C302" s="169" t="s">
        <v>328</v>
      </c>
      <c r="D302" s="170" t="s">
        <v>26</v>
      </c>
      <c r="E302" s="171"/>
      <c r="F302" s="172">
        <f t="shared" si="65"/>
        <v>150</v>
      </c>
      <c r="G302" s="172">
        <f t="shared" si="65"/>
        <v>0</v>
      </c>
      <c r="H302" s="172">
        <f t="shared" si="65"/>
        <v>150</v>
      </c>
      <c r="I302" s="188">
        <f t="shared" si="65"/>
        <v>0</v>
      </c>
      <c r="J302" s="189"/>
      <c r="K302" s="188">
        <f t="shared" si="65"/>
        <v>0</v>
      </c>
      <c r="L302" s="172">
        <f t="shared" si="65"/>
        <v>150</v>
      </c>
      <c r="M302" s="172">
        <f t="shared" si="65"/>
        <v>0</v>
      </c>
      <c r="N302" s="172">
        <f t="shared" si="65"/>
        <v>150</v>
      </c>
      <c r="O302" s="178"/>
      <c r="P302" s="92"/>
    </row>
    <row r="303" spans="1:16" ht="31.5" x14ac:dyDescent="0.2">
      <c r="A303" s="42"/>
      <c r="B303" s="168" t="s">
        <v>35</v>
      </c>
      <c r="C303" s="169" t="s">
        <v>328</v>
      </c>
      <c r="D303" s="170" t="s">
        <v>36</v>
      </c>
      <c r="E303" s="171"/>
      <c r="F303" s="172">
        <v>150</v>
      </c>
      <c r="G303" s="172"/>
      <c r="H303" s="172">
        <v>150</v>
      </c>
      <c r="I303" s="188">
        <v>0</v>
      </c>
      <c r="J303" s="189"/>
      <c r="K303" s="188">
        <v>0</v>
      </c>
      <c r="L303" s="172">
        <v>150</v>
      </c>
      <c r="M303" s="172"/>
      <c r="N303" s="172">
        <v>150</v>
      </c>
      <c r="O303" s="178"/>
      <c r="P303" s="92"/>
    </row>
    <row r="304" spans="1:16" ht="18.75" hidden="1" x14ac:dyDescent="0.2">
      <c r="A304" s="42"/>
      <c r="B304" s="168"/>
      <c r="C304" s="169"/>
      <c r="D304" s="170"/>
      <c r="E304" s="171"/>
      <c r="F304" s="172"/>
      <c r="G304" s="172"/>
      <c r="H304" s="172"/>
      <c r="I304" s="188"/>
      <c r="J304" s="189"/>
      <c r="K304" s="189"/>
      <c r="L304" s="172"/>
      <c r="M304" s="172"/>
      <c r="N304" s="172"/>
      <c r="O304" s="178"/>
      <c r="P304" s="92"/>
    </row>
    <row r="305" spans="1:16" ht="31.5" x14ac:dyDescent="0.2">
      <c r="A305" s="49"/>
      <c r="B305" s="190" t="s">
        <v>329</v>
      </c>
      <c r="C305" s="191" t="s">
        <v>330</v>
      </c>
      <c r="D305" s="192" t="s">
        <v>26</v>
      </c>
      <c r="E305" s="193"/>
      <c r="F305" s="194">
        <f t="shared" ref="F305:N306" si="66">F306</f>
        <v>2900</v>
      </c>
      <c r="G305" s="194">
        <f t="shared" si="66"/>
        <v>100</v>
      </c>
      <c r="H305" s="194">
        <f t="shared" si="66"/>
        <v>3000</v>
      </c>
      <c r="I305" s="195">
        <f>I306+I310</f>
        <v>100</v>
      </c>
      <c r="J305" s="194">
        <f>SUM(J310)</f>
        <v>0</v>
      </c>
      <c r="K305" s="194">
        <f>SUM(K310)</f>
        <v>100</v>
      </c>
      <c r="L305" s="194">
        <f>L306+I305</f>
        <v>3000</v>
      </c>
      <c r="M305" s="194">
        <f>M306+M310</f>
        <v>100</v>
      </c>
      <c r="N305" s="194">
        <f>N306+K305</f>
        <v>3100</v>
      </c>
      <c r="O305" s="178"/>
      <c r="P305" s="92"/>
    </row>
    <row r="306" spans="1:16" ht="96" customHeight="1" x14ac:dyDescent="0.2">
      <c r="A306" s="42"/>
      <c r="B306" s="214" t="s">
        <v>331</v>
      </c>
      <c r="C306" s="169" t="s">
        <v>332</v>
      </c>
      <c r="D306" s="170" t="s">
        <v>26</v>
      </c>
      <c r="E306" s="171"/>
      <c r="F306" s="172">
        <f t="shared" si="66"/>
        <v>2900</v>
      </c>
      <c r="G306" s="172">
        <f t="shared" si="66"/>
        <v>100</v>
      </c>
      <c r="H306" s="172">
        <f t="shared" si="66"/>
        <v>3000</v>
      </c>
      <c r="I306" s="188">
        <f t="shared" si="66"/>
        <v>0</v>
      </c>
      <c r="J306" s="189"/>
      <c r="K306" s="188">
        <f t="shared" si="66"/>
        <v>0</v>
      </c>
      <c r="L306" s="172">
        <f t="shared" si="66"/>
        <v>2900</v>
      </c>
      <c r="M306" s="172">
        <f t="shared" si="66"/>
        <v>100</v>
      </c>
      <c r="N306" s="172">
        <f t="shared" si="66"/>
        <v>3000</v>
      </c>
      <c r="O306" s="178"/>
      <c r="P306" s="92"/>
    </row>
    <row r="307" spans="1:16" ht="31.5" x14ac:dyDescent="0.2">
      <c r="A307" s="42"/>
      <c r="B307" s="168" t="s">
        <v>333</v>
      </c>
      <c r="C307" s="169" t="s">
        <v>334</v>
      </c>
      <c r="D307" s="170" t="s">
        <v>26</v>
      </c>
      <c r="E307" s="171"/>
      <c r="F307" s="172">
        <f>F308+F309</f>
        <v>2900</v>
      </c>
      <c r="G307" s="172">
        <f>G308+G309</f>
        <v>100</v>
      </c>
      <c r="H307" s="172">
        <f>H308+H309</f>
        <v>3000</v>
      </c>
      <c r="I307" s="188">
        <f>I308+I309</f>
        <v>0</v>
      </c>
      <c r="J307" s="189"/>
      <c r="K307" s="188">
        <f>K308+K309</f>
        <v>0</v>
      </c>
      <c r="L307" s="172">
        <f>L308+L309</f>
        <v>2900</v>
      </c>
      <c r="M307" s="172">
        <f>M308+M309</f>
        <v>100</v>
      </c>
      <c r="N307" s="172">
        <f>SUM(H307)</f>
        <v>3000</v>
      </c>
      <c r="O307" s="178"/>
      <c r="P307" s="92"/>
    </row>
    <row r="308" spans="1:16" ht="31.5" x14ac:dyDescent="0.2">
      <c r="A308" s="42"/>
      <c r="B308" s="168" t="s">
        <v>35</v>
      </c>
      <c r="C308" s="169" t="s">
        <v>334</v>
      </c>
      <c r="D308" s="170" t="s">
        <v>36</v>
      </c>
      <c r="E308" s="171"/>
      <c r="F308" s="172">
        <v>2836.8</v>
      </c>
      <c r="G308" s="172">
        <v>100</v>
      </c>
      <c r="H308" s="172">
        <f>SUM(F308:G308)</f>
        <v>2936.8</v>
      </c>
      <c r="I308" s="188">
        <v>0</v>
      </c>
      <c r="J308" s="189"/>
      <c r="K308" s="188">
        <v>0</v>
      </c>
      <c r="L308" s="172">
        <f>SUM(F308)</f>
        <v>2836.8</v>
      </c>
      <c r="M308" s="172">
        <f>SUM(G308)</f>
        <v>100</v>
      </c>
      <c r="N308" s="172">
        <f>SUM(L308:M308)</f>
        <v>2936.8</v>
      </c>
      <c r="O308" s="178"/>
      <c r="P308" s="92"/>
    </row>
    <row r="309" spans="1:16" ht="18.75" x14ac:dyDescent="0.2">
      <c r="A309" s="42"/>
      <c r="B309" s="168" t="s">
        <v>41</v>
      </c>
      <c r="C309" s="169" t="s">
        <v>334</v>
      </c>
      <c r="D309" s="170" t="s">
        <v>42</v>
      </c>
      <c r="E309" s="171"/>
      <c r="F309" s="172">
        <v>63.2</v>
      </c>
      <c r="G309" s="172"/>
      <c r="H309" s="172">
        <v>63.2</v>
      </c>
      <c r="I309" s="188">
        <v>0</v>
      </c>
      <c r="J309" s="189"/>
      <c r="K309" s="188">
        <v>0</v>
      </c>
      <c r="L309" s="172">
        <v>63.2</v>
      </c>
      <c r="M309" s="172"/>
      <c r="N309" s="172">
        <v>63.2</v>
      </c>
      <c r="O309" s="178"/>
      <c r="P309" s="92"/>
    </row>
    <row r="310" spans="1:16" ht="47.25" x14ac:dyDescent="0.2">
      <c r="A310" s="42"/>
      <c r="B310" s="168" t="s">
        <v>465</v>
      </c>
      <c r="C310" s="169" t="s">
        <v>463</v>
      </c>
      <c r="D310" s="170"/>
      <c r="E310" s="171"/>
      <c r="F310" s="172"/>
      <c r="G310" s="172"/>
      <c r="H310" s="172"/>
      <c r="I310" s="188">
        <f>SUM(I311)</f>
        <v>100</v>
      </c>
      <c r="J310" s="189">
        <f>SUM(J311)</f>
        <v>0</v>
      </c>
      <c r="K310" s="189">
        <f>SUM(K311)</f>
        <v>100</v>
      </c>
      <c r="L310" s="172">
        <f t="shared" ref="L310:N311" si="67">SUM(I310)</f>
        <v>100</v>
      </c>
      <c r="M310" s="172">
        <f t="shared" si="67"/>
        <v>0</v>
      </c>
      <c r="N310" s="172">
        <f t="shared" si="67"/>
        <v>100</v>
      </c>
      <c r="O310" s="178"/>
      <c r="P310" s="92"/>
    </row>
    <row r="311" spans="1:16" ht="31.5" x14ac:dyDescent="0.2">
      <c r="A311" s="42"/>
      <c r="B311" s="168" t="s">
        <v>35</v>
      </c>
      <c r="C311" s="169" t="s">
        <v>464</v>
      </c>
      <c r="D311" s="170" t="s">
        <v>36</v>
      </c>
      <c r="E311" s="171"/>
      <c r="F311" s="172"/>
      <c r="G311" s="172"/>
      <c r="H311" s="172"/>
      <c r="I311" s="188">
        <v>100</v>
      </c>
      <c r="J311" s="189"/>
      <c r="K311" s="188">
        <v>100</v>
      </c>
      <c r="L311" s="172">
        <f t="shared" si="67"/>
        <v>100</v>
      </c>
      <c r="M311" s="172">
        <f t="shared" si="67"/>
        <v>0</v>
      </c>
      <c r="N311" s="172">
        <f t="shared" si="67"/>
        <v>100</v>
      </c>
      <c r="O311" s="178"/>
      <c r="P311" s="92"/>
    </row>
    <row r="312" spans="1:16" ht="31.5" x14ac:dyDescent="0.2">
      <c r="A312" s="19" t="s">
        <v>335</v>
      </c>
      <c r="B312" s="182" t="s">
        <v>336</v>
      </c>
      <c r="C312" s="183" t="s">
        <v>337</v>
      </c>
      <c r="D312" s="184" t="s">
        <v>26</v>
      </c>
      <c r="E312" s="185"/>
      <c r="F312" s="186">
        <f>F313+F323+F320</f>
        <v>36745.300000000003</v>
      </c>
      <c r="G312" s="186">
        <f>G313+G323+G320</f>
        <v>12830.5</v>
      </c>
      <c r="H312" s="186">
        <f>H313+H323+H320</f>
        <v>49575.8</v>
      </c>
      <c r="I312" s="187">
        <f t="shared" ref="F312:N313" si="68">I313</f>
        <v>119390.6</v>
      </c>
      <c r="J312" s="186">
        <f>J313+J323</f>
        <v>0</v>
      </c>
      <c r="K312" s="187">
        <f t="shared" si="68"/>
        <v>119390.6</v>
      </c>
      <c r="L312" s="186">
        <f>L313+L323+L320</f>
        <v>156135.90000000002</v>
      </c>
      <c r="M312" s="186">
        <f>M313+M323+M320</f>
        <v>12830.5</v>
      </c>
      <c r="N312" s="186">
        <f>N313+N323+N320</f>
        <v>168966.40000000002</v>
      </c>
      <c r="O312" s="178"/>
      <c r="P312" s="92"/>
    </row>
    <row r="313" spans="1:16" ht="18.75" x14ac:dyDescent="0.2">
      <c r="A313" s="49"/>
      <c r="B313" s="190" t="s">
        <v>338</v>
      </c>
      <c r="C313" s="191" t="s">
        <v>339</v>
      </c>
      <c r="D313" s="192" t="s">
        <v>26</v>
      </c>
      <c r="E313" s="193"/>
      <c r="F313" s="194">
        <f t="shared" si="68"/>
        <v>26419.300000000003</v>
      </c>
      <c r="G313" s="194">
        <f t="shared" si="68"/>
        <v>3002</v>
      </c>
      <c r="H313" s="194">
        <f t="shared" si="68"/>
        <v>29421.300000000003</v>
      </c>
      <c r="I313" s="195">
        <f t="shared" si="68"/>
        <v>119390.6</v>
      </c>
      <c r="J313" s="194">
        <f t="shared" si="68"/>
        <v>0</v>
      </c>
      <c r="K313" s="195">
        <f t="shared" si="68"/>
        <v>119390.6</v>
      </c>
      <c r="L313" s="194">
        <f t="shared" si="68"/>
        <v>145809.90000000002</v>
      </c>
      <c r="M313" s="194">
        <f t="shared" si="68"/>
        <v>3002</v>
      </c>
      <c r="N313" s="194">
        <f t="shared" si="68"/>
        <v>148811.90000000002</v>
      </c>
      <c r="O313" s="178"/>
      <c r="P313" s="92"/>
    </row>
    <row r="314" spans="1:16" ht="47.25" x14ac:dyDescent="0.2">
      <c r="A314" s="42"/>
      <c r="B314" s="168" t="s">
        <v>340</v>
      </c>
      <c r="C314" s="169" t="s">
        <v>341</v>
      </c>
      <c r="D314" s="170" t="s">
        <v>26</v>
      </c>
      <c r="E314" s="171"/>
      <c r="F314" s="172">
        <f>F315+F318</f>
        <v>26419.300000000003</v>
      </c>
      <c r="G314" s="172">
        <f>G315+G318</f>
        <v>3002</v>
      </c>
      <c r="H314" s="172">
        <f>H315+H318</f>
        <v>29421.300000000003</v>
      </c>
      <c r="I314" s="188">
        <f>I315+I318</f>
        <v>119390.6</v>
      </c>
      <c r="J314" s="189">
        <f>SUM(J318)</f>
        <v>0</v>
      </c>
      <c r="K314" s="188">
        <f>K315+K318</f>
        <v>119390.6</v>
      </c>
      <c r="L314" s="172">
        <f>L315+L318</f>
        <v>145809.90000000002</v>
      </c>
      <c r="M314" s="172">
        <f>M315+M318</f>
        <v>3002</v>
      </c>
      <c r="N314" s="172">
        <f>N315+N318</f>
        <v>148811.90000000002</v>
      </c>
      <c r="O314" s="178"/>
      <c r="P314" s="92"/>
    </row>
    <row r="315" spans="1:16" ht="36" customHeight="1" x14ac:dyDescent="0.2">
      <c r="A315" s="42"/>
      <c r="B315" s="168" t="s">
        <v>342</v>
      </c>
      <c r="C315" s="169" t="s">
        <v>343</v>
      </c>
      <c r="D315" s="170" t="s">
        <v>26</v>
      </c>
      <c r="E315" s="171"/>
      <c r="F315" s="172">
        <f>F316+F317</f>
        <v>6983.6</v>
      </c>
      <c r="G315" s="172">
        <f>G316+G317</f>
        <v>3002</v>
      </c>
      <c r="H315" s="172">
        <f>H316+H317</f>
        <v>9985.6</v>
      </c>
      <c r="I315" s="188">
        <f>I316+I317</f>
        <v>0</v>
      </c>
      <c r="J315" s="189"/>
      <c r="K315" s="188">
        <f>K316+K317</f>
        <v>0</v>
      </c>
      <c r="L315" s="172">
        <f>L316+L317</f>
        <v>6983.6</v>
      </c>
      <c r="M315" s="172">
        <f>M316+M317</f>
        <v>3002</v>
      </c>
      <c r="N315" s="172">
        <f>N316+N317</f>
        <v>9985.6</v>
      </c>
      <c r="O315" s="178"/>
      <c r="P315" s="92"/>
    </row>
    <row r="316" spans="1:16" ht="31.5" x14ac:dyDescent="0.2">
      <c r="A316" s="42"/>
      <c r="B316" s="168" t="s">
        <v>35</v>
      </c>
      <c r="C316" s="169" t="s">
        <v>343</v>
      </c>
      <c r="D316" s="170" t="s">
        <v>36</v>
      </c>
      <c r="E316" s="171"/>
      <c r="F316" s="172">
        <v>1738</v>
      </c>
      <c r="G316" s="172">
        <v>1202</v>
      </c>
      <c r="H316" s="172">
        <f>F316+G316</f>
        <v>2940</v>
      </c>
      <c r="I316" s="188">
        <v>0</v>
      </c>
      <c r="J316" s="189"/>
      <c r="K316" s="188">
        <v>0</v>
      </c>
      <c r="L316" s="172">
        <f t="shared" ref="L316:N317" si="69">SUM(F316)</f>
        <v>1738</v>
      </c>
      <c r="M316" s="172">
        <f t="shared" si="69"/>
        <v>1202</v>
      </c>
      <c r="N316" s="172">
        <f t="shared" si="69"/>
        <v>2940</v>
      </c>
      <c r="O316" s="178"/>
      <c r="P316" s="92"/>
    </row>
    <row r="317" spans="1:16" ht="31.5" x14ac:dyDescent="0.2">
      <c r="A317" s="42"/>
      <c r="B317" s="168" t="s">
        <v>131</v>
      </c>
      <c r="C317" s="169" t="s">
        <v>343</v>
      </c>
      <c r="D317" s="170" t="s">
        <v>132</v>
      </c>
      <c r="E317" s="171"/>
      <c r="F317" s="172">
        <v>5245.6</v>
      </c>
      <c r="G317" s="172">
        <v>1800</v>
      </c>
      <c r="H317" s="172">
        <f>SUM(F317)+G317</f>
        <v>7045.6</v>
      </c>
      <c r="I317" s="188">
        <v>0</v>
      </c>
      <c r="J317" s="189"/>
      <c r="K317" s="188">
        <v>0</v>
      </c>
      <c r="L317" s="172">
        <f>SUM(F317)</f>
        <v>5245.6</v>
      </c>
      <c r="M317" s="172">
        <f t="shared" si="69"/>
        <v>1800</v>
      </c>
      <c r="N317" s="172">
        <f>SUM(H317)</f>
        <v>7045.6</v>
      </c>
      <c r="O317" s="178"/>
      <c r="P317" s="92"/>
    </row>
    <row r="318" spans="1:16" ht="18.75" x14ac:dyDescent="0.2">
      <c r="A318" s="42"/>
      <c r="B318" s="168" t="s">
        <v>344</v>
      </c>
      <c r="C318" s="169" t="s">
        <v>345</v>
      </c>
      <c r="D318" s="170" t="s">
        <v>26</v>
      </c>
      <c r="E318" s="171"/>
      <c r="F318" s="172">
        <f>F319</f>
        <v>19435.7</v>
      </c>
      <c r="G318" s="172">
        <f>G319</f>
        <v>0</v>
      </c>
      <c r="H318" s="172">
        <f>H319</f>
        <v>19435.7</v>
      </c>
      <c r="I318" s="188">
        <f>I319</f>
        <v>119390.6</v>
      </c>
      <c r="J318" s="189"/>
      <c r="K318" s="188">
        <f>K319</f>
        <v>119390.6</v>
      </c>
      <c r="L318" s="172">
        <f>L319</f>
        <v>138826.30000000002</v>
      </c>
      <c r="M318" s="172">
        <f>M319</f>
        <v>0</v>
      </c>
      <c r="N318" s="172">
        <f>N319</f>
        <v>138826.30000000002</v>
      </c>
      <c r="O318" s="178"/>
      <c r="P318" s="92"/>
    </row>
    <row r="319" spans="1:16" ht="31.5" x14ac:dyDescent="0.2">
      <c r="A319" s="42"/>
      <c r="B319" s="168" t="s">
        <v>131</v>
      </c>
      <c r="C319" s="169" t="s">
        <v>345</v>
      </c>
      <c r="D319" s="170" t="s">
        <v>132</v>
      </c>
      <c r="E319" s="171"/>
      <c r="F319" s="172">
        <v>19435.7</v>
      </c>
      <c r="G319" s="172"/>
      <c r="H319" s="172">
        <f>SUM(F319)</f>
        <v>19435.7</v>
      </c>
      <c r="I319" s="188">
        <v>119390.6</v>
      </c>
      <c r="J319" s="189"/>
      <c r="K319" s="188">
        <f>SUM(I319)</f>
        <v>119390.6</v>
      </c>
      <c r="L319" s="172">
        <f>SUM(F319)+I319</f>
        <v>138826.30000000002</v>
      </c>
      <c r="M319" s="172">
        <f>SUM(G319)+J319</f>
        <v>0</v>
      </c>
      <c r="N319" s="172">
        <f>SUM(H319)+K319</f>
        <v>138826.30000000002</v>
      </c>
      <c r="O319" s="178"/>
      <c r="P319" s="92"/>
    </row>
    <row r="320" spans="1:16" ht="18.75" x14ac:dyDescent="0.2">
      <c r="A320" s="42"/>
      <c r="B320" s="168" t="s">
        <v>346</v>
      </c>
      <c r="C320" s="169" t="s">
        <v>347</v>
      </c>
      <c r="D320" s="170"/>
      <c r="E320" s="171"/>
      <c r="F320" s="172">
        <v>8102</v>
      </c>
      <c r="G320" s="172">
        <f>SUM(G322)</f>
        <v>-8102</v>
      </c>
      <c r="H320" s="172">
        <f>SUM(F320:G320)</f>
        <v>0</v>
      </c>
      <c r="I320" s="188"/>
      <c r="J320" s="189"/>
      <c r="K320" s="188"/>
      <c r="L320" s="172">
        <f>SUM(F320)</f>
        <v>8102</v>
      </c>
      <c r="M320" s="172">
        <f>SUM(G320)</f>
        <v>-8102</v>
      </c>
      <c r="N320" s="172">
        <f>SUM(H320)</f>
        <v>0</v>
      </c>
      <c r="O320" s="178"/>
      <c r="P320" s="92"/>
    </row>
    <row r="321" spans="1:17" ht="1.5" customHeight="1" x14ac:dyDescent="0.2">
      <c r="A321" s="42"/>
      <c r="B321" s="168"/>
      <c r="C321" s="169"/>
      <c r="D321" s="170"/>
      <c r="E321" s="171"/>
      <c r="F321" s="172"/>
      <c r="G321" s="172">
        <f>SUM(G322)</f>
        <v>-8102</v>
      </c>
      <c r="H321" s="172">
        <f>SUM(G321)</f>
        <v>-8102</v>
      </c>
      <c r="I321" s="188"/>
      <c r="J321" s="189"/>
      <c r="K321" s="188"/>
      <c r="L321" s="172"/>
      <c r="M321" s="172">
        <f>SUM(G321)</f>
        <v>-8102</v>
      </c>
      <c r="N321" s="172">
        <f>SUM(M321)</f>
        <v>-8102</v>
      </c>
      <c r="O321" s="178"/>
      <c r="P321" s="92"/>
    </row>
    <row r="322" spans="1:17" ht="31.5" x14ac:dyDescent="0.2">
      <c r="A322" s="42"/>
      <c r="B322" s="168" t="s">
        <v>131</v>
      </c>
      <c r="C322" s="169" t="s">
        <v>347</v>
      </c>
      <c r="D322" s="170" t="s">
        <v>132</v>
      </c>
      <c r="E322" s="171"/>
      <c r="F322" s="172">
        <v>8102</v>
      </c>
      <c r="G322" s="172">
        <f>-5100-3002</f>
        <v>-8102</v>
      </c>
      <c r="H322" s="172">
        <f>SUM(F322:G322)</f>
        <v>0</v>
      </c>
      <c r="I322" s="188"/>
      <c r="J322" s="189"/>
      <c r="K322" s="188"/>
      <c r="L322" s="172">
        <f>SUM(F322)</f>
        <v>8102</v>
      </c>
      <c r="M322" s="172">
        <f>SUM(G322)</f>
        <v>-8102</v>
      </c>
      <c r="N322" s="172">
        <f>SUM(H322)</f>
        <v>0</v>
      </c>
      <c r="O322" s="178"/>
      <c r="P322" s="92"/>
    </row>
    <row r="323" spans="1:17" ht="18.75" x14ac:dyDescent="0.2">
      <c r="A323" s="42"/>
      <c r="B323" s="190" t="s">
        <v>348</v>
      </c>
      <c r="C323" s="191" t="s">
        <v>349</v>
      </c>
      <c r="D323" s="192"/>
      <c r="E323" s="193"/>
      <c r="F323" s="194">
        <f>SUM(F325)</f>
        <v>2224</v>
      </c>
      <c r="G323" s="194">
        <f>SUM(G325)</f>
        <v>17930.5</v>
      </c>
      <c r="H323" s="194">
        <f>SUM(H325)</f>
        <v>20154.5</v>
      </c>
      <c r="I323" s="195"/>
      <c r="J323" s="194">
        <f>SUM(J325)</f>
        <v>0</v>
      </c>
      <c r="K323" s="195"/>
      <c r="L323" s="194">
        <f>SUM(L325)</f>
        <v>2224</v>
      </c>
      <c r="M323" s="194">
        <f>SUM(M325)</f>
        <v>17930.5</v>
      </c>
      <c r="N323" s="194">
        <f>SUM(N325)</f>
        <v>20154.5</v>
      </c>
      <c r="O323" s="178"/>
      <c r="P323" s="92"/>
    </row>
    <row r="324" spans="1:17" ht="47.25" x14ac:dyDescent="0.2">
      <c r="A324" s="42"/>
      <c r="B324" s="168" t="s">
        <v>350</v>
      </c>
      <c r="C324" s="169" t="s">
        <v>351</v>
      </c>
      <c r="D324" s="170"/>
      <c r="E324" s="171"/>
      <c r="F324" s="172">
        <f>SUM(F325)</f>
        <v>2224</v>
      </c>
      <c r="G324" s="172">
        <f>SUM(G325)</f>
        <v>17930.5</v>
      </c>
      <c r="H324" s="172">
        <f>SUM(H325)</f>
        <v>20154.5</v>
      </c>
      <c r="I324" s="188"/>
      <c r="J324" s="189"/>
      <c r="K324" s="188"/>
      <c r="L324" s="172">
        <f>SUM(L325)</f>
        <v>2224</v>
      </c>
      <c r="M324" s="172">
        <f>SUM(M325)</f>
        <v>17930.5</v>
      </c>
      <c r="N324" s="172">
        <f>SUM(N325)</f>
        <v>20154.5</v>
      </c>
      <c r="O324" s="178"/>
      <c r="P324" s="92"/>
    </row>
    <row r="325" spans="1:17" ht="18.75" x14ac:dyDescent="0.2">
      <c r="A325" s="42"/>
      <c r="B325" s="168" t="s">
        <v>348</v>
      </c>
      <c r="C325" s="169" t="s">
        <v>352</v>
      </c>
      <c r="D325" s="170"/>
      <c r="E325" s="171"/>
      <c r="F325" s="172">
        <f>1964+F326</f>
        <v>2224</v>
      </c>
      <c r="G325" s="172">
        <f>G326+G327</f>
        <v>17930.5</v>
      </c>
      <c r="H325" s="172">
        <f>H326+H327</f>
        <v>20154.5</v>
      </c>
      <c r="I325" s="188"/>
      <c r="J325" s="189"/>
      <c r="K325" s="188"/>
      <c r="L325" s="172">
        <f t="shared" ref="L325:N326" si="70">SUM(F325)</f>
        <v>2224</v>
      </c>
      <c r="M325" s="172">
        <f t="shared" si="70"/>
        <v>17930.5</v>
      </c>
      <c r="N325" s="172">
        <f t="shared" si="70"/>
        <v>20154.5</v>
      </c>
      <c r="O325" s="178"/>
      <c r="P325" s="92"/>
    </row>
    <row r="326" spans="1:17" ht="31.5" x14ac:dyDescent="0.2">
      <c r="A326" s="42"/>
      <c r="B326" s="168" t="s">
        <v>35</v>
      </c>
      <c r="C326" s="169" t="s">
        <v>352</v>
      </c>
      <c r="D326" s="170" t="s">
        <v>36</v>
      </c>
      <c r="E326" s="171"/>
      <c r="F326" s="172">
        <v>260</v>
      </c>
      <c r="G326" s="172">
        <f>17930.5+150</f>
        <v>18080.5</v>
      </c>
      <c r="H326" s="172">
        <f>SUM(F326:G326)</f>
        <v>18340.5</v>
      </c>
      <c r="I326" s="188"/>
      <c r="J326" s="189"/>
      <c r="K326" s="188"/>
      <c r="L326" s="172">
        <f t="shared" si="70"/>
        <v>260</v>
      </c>
      <c r="M326" s="172">
        <f t="shared" si="70"/>
        <v>18080.5</v>
      </c>
      <c r="N326" s="172">
        <f t="shared" si="70"/>
        <v>18340.5</v>
      </c>
      <c r="O326" s="178"/>
      <c r="P326" s="92"/>
    </row>
    <row r="327" spans="1:17" ht="31.5" x14ac:dyDescent="0.2">
      <c r="A327" s="42"/>
      <c r="B327" s="168" t="s">
        <v>131</v>
      </c>
      <c r="C327" s="169" t="s">
        <v>352</v>
      </c>
      <c r="D327" s="170" t="s">
        <v>132</v>
      </c>
      <c r="E327" s="171"/>
      <c r="F327" s="172">
        <v>1964</v>
      </c>
      <c r="G327" s="172">
        <v>-150</v>
      </c>
      <c r="H327" s="172">
        <f>1964+G327</f>
        <v>1814</v>
      </c>
      <c r="I327" s="188"/>
      <c r="J327" s="189"/>
      <c r="K327" s="188"/>
      <c r="L327" s="172">
        <v>1964</v>
      </c>
      <c r="M327" s="172">
        <f>SUM(G327)</f>
        <v>-150</v>
      </c>
      <c r="N327" s="172">
        <f>1964+M327</f>
        <v>1814</v>
      </c>
      <c r="O327" s="178"/>
      <c r="P327" s="92"/>
    </row>
    <row r="328" spans="1:17" ht="31.5" x14ac:dyDescent="0.2">
      <c r="A328" s="19" t="s">
        <v>353</v>
      </c>
      <c r="B328" s="182" t="s">
        <v>354</v>
      </c>
      <c r="C328" s="183" t="s">
        <v>355</v>
      </c>
      <c r="D328" s="184" t="s">
        <v>26</v>
      </c>
      <c r="E328" s="185"/>
      <c r="F328" s="186">
        <f t="shared" ref="F328:N328" si="71">F329+F342+F348</f>
        <v>67297.5</v>
      </c>
      <c r="G328" s="186">
        <f t="shared" si="71"/>
        <v>338.5</v>
      </c>
      <c r="H328" s="186">
        <f t="shared" si="71"/>
        <v>67636</v>
      </c>
      <c r="I328" s="187">
        <f t="shared" si="71"/>
        <v>0</v>
      </c>
      <c r="J328" s="186">
        <f t="shared" si="71"/>
        <v>0</v>
      </c>
      <c r="K328" s="187">
        <f t="shared" si="71"/>
        <v>0</v>
      </c>
      <c r="L328" s="186">
        <f t="shared" si="71"/>
        <v>67297.5</v>
      </c>
      <c r="M328" s="186">
        <f t="shared" si="71"/>
        <v>338.5</v>
      </c>
      <c r="N328" s="186">
        <f t="shared" si="71"/>
        <v>67636</v>
      </c>
      <c r="O328" s="178"/>
      <c r="P328" s="92"/>
      <c r="Q328" s="25"/>
    </row>
    <row r="329" spans="1:17" ht="18.75" x14ac:dyDescent="0.2">
      <c r="A329" s="49"/>
      <c r="B329" s="190" t="s">
        <v>356</v>
      </c>
      <c r="C329" s="191" t="s">
        <v>357</v>
      </c>
      <c r="D329" s="192" t="s">
        <v>26</v>
      </c>
      <c r="E329" s="193"/>
      <c r="F329" s="194">
        <f t="shared" ref="F329:N329" si="72">F330+F335</f>
        <v>50598.9</v>
      </c>
      <c r="G329" s="194">
        <f t="shared" si="72"/>
        <v>338.5</v>
      </c>
      <c r="H329" s="194">
        <f t="shared" si="72"/>
        <v>50937.4</v>
      </c>
      <c r="I329" s="195">
        <f t="shared" si="72"/>
        <v>0</v>
      </c>
      <c r="J329" s="194">
        <f t="shared" si="72"/>
        <v>0</v>
      </c>
      <c r="K329" s="195">
        <f t="shared" si="72"/>
        <v>0</v>
      </c>
      <c r="L329" s="194">
        <f t="shared" si="72"/>
        <v>50598.9</v>
      </c>
      <c r="M329" s="194">
        <f t="shared" si="72"/>
        <v>338.5</v>
      </c>
      <c r="N329" s="194">
        <f t="shared" si="72"/>
        <v>50937.4</v>
      </c>
      <c r="O329" s="178"/>
      <c r="P329" s="92"/>
      <c r="Q329" s="55"/>
    </row>
    <row r="330" spans="1:17" ht="18.75" x14ac:dyDescent="0.2">
      <c r="A330" s="42"/>
      <c r="B330" s="168" t="s">
        <v>358</v>
      </c>
      <c r="C330" s="169" t="s">
        <v>359</v>
      </c>
      <c r="D330" s="170" t="s">
        <v>26</v>
      </c>
      <c r="E330" s="171"/>
      <c r="F330" s="172">
        <f>F331</f>
        <v>38315</v>
      </c>
      <c r="G330" s="172">
        <f>G331</f>
        <v>0</v>
      </c>
      <c r="H330" s="172">
        <f>H331</f>
        <v>38315</v>
      </c>
      <c r="I330" s="188">
        <f>I331</f>
        <v>0</v>
      </c>
      <c r="J330" s="189"/>
      <c r="K330" s="188">
        <f>K331</f>
        <v>0</v>
      </c>
      <c r="L330" s="172">
        <f>L331</f>
        <v>38315</v>
      </c>
      <c r="M330" s="172">
        <f>M331</f>
        <v>0</v>
      </c>
      <c r="N330" s="172">
        <f>N331</f>
        <v>38315</v>
      </c>
      <c r="O330" s="178"/>
      <c r="P330" s="92"/>
    </row>
    <row r="331" spans="1:17" ht="31.5" x14ac:dyDescent="0.2">
      <c r="A331" s="42"/>
      <c r="B331" s="168" t="s">
        <v>39</v>
      </c>
      <c r="C331" s="169" t="s">
        <v>360</v>
      </c>
      <c r="D331" s="170" t="s">
        <v>26</v>
      </c>
      <c r="E331" s="171"/>
      <c r="F331" s="172">
        <f>F332+F333+F334</f>
        <v>38315</v>
      </c>
      <c r="G331" s="172">
        <f>G332+G333</f>
        <v>0</v>
      </c>
      <c r="H331" s="172">
        <f>H332+H333+H334</f>
        <v>38315</v>
      </c>
      <c r="I331" s="188">
        <f>I332+I333+I334</f>
        <v>0</v>
      </c>
      <c r="J331" s="189"/>
      <c r="K331" s="188">
        <f>K332+K333+K334</f>
        <v>0</v>
      </c>
      <c r="L331" s="172">
        <f>L332+L333+L334</f>
        <v>38315</v>
      </c>
      <c r="M331" s="172">
        <f>M332+M333+M334</f>
        <v>0</v>
      </c>
      <c r="N331" s="172">
        <f>N332+N333+N334</f>
        <v>38315</v>
      </c>
      <c r="O331" s="178"/>
      <c r="P331" s="92"/>
    </row>
    <row r="332" spans="1:17" ht="64.150000000000006" customHeight="1" x14ac:dyDescent="0.2">
      <c r="A332" s="42"/>
      <c r="B332" s="168" t="s">
        <v>31</v>
      </c>
      <c r="C332" s="169" t="s">
        <v>360</v>
      </c>
      <c r="D332" s="170" t="s">
        <v>32</v>
      </c>
      <c r="E332" s="171"/>
      <c r="F332" s="172">
        <v>27235.3</v>
      </c>
      <c r="G332" s="172">
        <v>-260</v>
      </c>
      <c r="H332" s="172">
        <f>SUM(F332)+G332</f>
        <v>26975.3</v>
      </c>
      <c r="I332" s="188">
        <v>0</v>
      </c>
      <c r="J332" s="189"/>
      <c r="K332" s="188">
        <v>0</v>
      </c>
      <c r="L332" s="172">
        <f t="shared" ref="L332:N333" si="73">SUM(F332)</f>
        <v>27235.3</v>
      </c>
      <c r="M332" s="172">
        <f t="shared" si="73"/>
        <v>-260</v>
      </c>
      <c r="N332" s="172">
        <f t="shared" si="73"/>
        <v>26975.3</v>
      </c>
      <c r="O332" s="178"/>
      <c r="P332" s="92"/>
    </row>
    <row r="333" spans="1:17" ht="31.5" x14ac:dyDescent="0.2">
      <c r="A333" s="42"/>
      <c r="B333" s="168" t="s">
        <v>35</v>
      </c>
      <c r="C333" s="169" t="s">
        <v>360</v>
      </c>
      <c r="D333" s="170" t="s">
        <v>36</v>
      </c>
      <c r="E333" s="171"/>
      <c r="F333" s="172">
        <v>11002.3</v>
      </c>
      <c r="G333" s="172">
        <v>260</v>
      </c>
      <c r="H333" s="172">
        <f>SUM(F333)+G333</f>
        <v>11262.3</v>
      </c>
      <c r="I333" s="188">
        <v>0</v>
      </c>
      <c r="J333" s="189"/>
      <c r="K333" s="188">
        <v>0</v>
      </c>
      <c r="L333" s="172">
        <f t="shared" si="73"/>
        <v>11002.3</v>
      </c>
      <c r="M333" s="172">
        <f>SUM(G333)</f>
        <v>260</v>
      </c>
      <c r="N333" s="172">
        <f t="shared" si="73"/>
        <v>11262.3</v>
      </c>
      <c r="O333" s="178"/>
      <c r="P333" s="92"/>
    </row>
    <row r="334" spans="1:17" ht="18.75" x14ac:dyDescent="0.2">
      <c r="A334" s="42"/>
      <c r="B334" s="168" t="s">
        <v>41</v>
      </c>
      <c r="C334" s="169" t="s">
        <v>360</v>
      </c>
      <c r="D334" s="170" t="s">
        <v>42</v>
      </c>
      <c r="E334" s="171"/>
      <c r="F334" s="172">
        <v>77.400000000000006</v>
      </c>
      <c r="G334" s="172"/>
      <c r="H334" s="172">
        <v>77.400000000000006</v>
      </c>
      <c r="I334" s="188">
        <v>0</v>
      </c>
      <c r="J334" s="189"/>
      <c r="K334" s="188">
        <v>0</v>
      </c>
      <c r="L334" s="172">
        <v>77.400000000000006</v>
      </c>
      <c r="M334" s="172"/>
      <c r="N334" s="172">
        <v>77.400000000000006</v>
      </c>
      <c r="O334" s="178"/>
      <c r="P334" s="92"/>
    </row>
    <row r="335" spans="1:17" ht="31.5" x14ac:dyDescent="0.2">
      <c r="A335" s="42"/>
      <c r="B335" s="168" t="s">
        <v>361</v>
      </c>
      <c r="C335" s="169" t="s">
        <v>362</v>
      </c>
      <c r="D335" s="170" t="s">
        <v>26</v>
      </c>
      <c r="E335" s="171"/>
      <c r="F335" s="172">
        <f>F336+F339</f>
        <v>12283.9</v>
      </c>
      <c r="G335" s="172">
        <f>G336+G339</f>
        <v>338.5</v>
      </c>
      <c r="H335" s="172">
        <f>H336+H339</f>
        <v>12622.4</v>
      </c>
      <c r="I335" s="188">
        <f>I336+I339</f>
        <v>0</v>
      </c>
      <c r="J335" s="189"/>
      <c r="K335" s="188">
        <f>K336+K339</f>
        <v>0</v>
      </c>
      <c r="L335" s="172">
        <f>L336+L339</f>
        <v>12283.9</v>
      </c>
      <c r="M335" s="172">
        <f>M336+M339</f>
        <v>338.5</v>
      </c>
      <c r="N335" s="172">
        <f>N336+N339</f>
        <v>12622.4</v>
      </c>
      <c r="O335" s="178"/>
      <c r="P335" s="92"/>
    </row>
    <row r="336" spans="1:17" ht="31.5" x14ac:dyDescent="0.2">
      <c r="A336" s="42"/>
      <c r="B336" s="168" t="s">
        <v>39</v>
      </c>
      <c r="C336" s="169" t="s">
        <v>363</v>
      </c>
      <c r="D336" s="170" t="s">
        <v>26</v>
      </c>
      <c r="E336" s="171"/>
      <c r="F336" s="172">
        <f>F337+F338</f>
        <v>10245</v>
      </c>
      <c r="G336" s="172">
        <f>G337+G338</f>
        <v>0</v>
      </c>
      <c r="H336" s="172">
        <f>H337+H338</f>
        <v>10245</v>
      </c>
      <c r="I336" s="188">
        <f>I337+I338</f>
        <v>0</v>
      </c>
      <c r="J336" s="189"/>
      <c r="K336" s="188">
        <f>K337+K338</f>
        <v>0</v>
      </c>
      <c r="L336" s="172">
        <f>L337+L338</f>
        <v>10245</v>
      </c>
      <c r="M336" s="172">
        <f>M337+M338</f>
        <v>0</v>
      </c>
      <c r="N336" s="172">
        <f>N337+N338</f>
        <v>10245</v>
      </c>
      <c r="O336" s="178"/>
      <c r="P336" s="92"/>
    </row>
    <row r="337" spans="1:16" ht="64.150000000000006" customHeight="1" x14ac:dyDescent="0.2">
      <c r="A337" s="42"/>
      <c r="B337" s="168" t="s">
        <v>31</v>
      </c>
      <c r="C337" s="169" t="s">
        <v>363</v>
      </c>
      <c r="D337" s="170" t="s">
        <v>32</v>
      </c>
      <c r="E337" s="171"/>
      <c r="F337" s="172">
        <v>9545</v>
      </c>
      <c r="G337" s="172"/>
      <c r="H337" s="172">
        <f>SUM(F337)</f>
        <v>9545</v>
      </c>
      <c r="I337" s="188">
        <v>0</v>
      </c>
      <c r="J337" s="189"/>
      <c r="K337" s="188">
        <v>0</v>
      </c>
      <c r="L337" s="172">
        <f>SUM(F337)</f>
        <v>9545</v>
      </c>
      <c r="M337" s="172">
        <f>SUM(G337)</f>
        <v>0</v>
      </c>
      <c r="N337" s="172">
        <f>SUM(H337)</f>
        <v>9545</v>
      </c>
      <c r="O337" s="178"/>
      <c r="P337" s="92"/>
    </row>
    <row r="338" spans="1:16" ht="31.5" x14ac:dyDescent="0.2">
      <c r="A338" s="42"/>
      <c r="B338" s="168" t="s">
        <v>35</v>
      </c>
      <c r="C338" s="169" t="s">
        <v>363</v>
      </c>
      <c r="D338" s="170" t="s">
        <v>36</v>
      </c>
      <c r="E338" s="171"/>
      <c r="F338" s="172">
        <v>700</v>
      </c>
      <c r="G338" s="172"/>
      <c r="H338" s="172">
        <v>700</v>
      </c>
      <c r="I338" s="188">
        <v>0</v>
      </c>
      <c r="J338" s="189"/>
      <c r="K338" s="188">
        <v>0</v>
      </c>
      <c r="L338" s="172">
        <v>700</v>
      </c>
      <c r="M338" s="172"/>
      <c r="N338" s="172">
        <v>700</v>
      </c>
      <c r="O338" s="178"/>
      <c r="P338" s="92"/>
    </row>
    <row r="339" spans="1:16" ht="31.5" x14ac:dyDescent="0.2">
      <c r="A339" s="42"/>
      <c r="B339" s="168" t="s">
        <v>364</v>
      </c>
      <c r="C339" s="169" t="s">
        <v>365</v>
      </c>
      <c r="D339" s="170" t="s">
        <v>26</v>
      </c>
      <c r="E339" s="171"/>
      <c r="F339" s="172">
        <f>F340+F341</f>
        <v>2038.9</v>
      </c>
      <c r="G339" s="172">
        <f>SUM(G340)+G341</f>
        <v>338.5</v>
      </c>
      <c r="H339" s="172">
        <f>H340+H341</f>
        <v>2377.4</v>
      </c>
      <c r="I339" s="188">
        <f>I340+I341</f>
        <v>0</v>
      </c>
      <c r="J339" s="189"/>
      <c r="K339" s="188">
        <f>K340+K341</f>
        <v>0</v>
      </c>
      <c r="L339" s="172">
        <f>SUM(F339)</f>
        <v>2038.9</v>
      </c>
      <c r="M339" s="172">
        <f>SUM(M340)+M341</f>
        <v>338.5</v>
      </c>
      <c r="N339" s="172">
        <f>M339+L339</f>
        <v>2377.4</v>
      </c>
      <c r="O339" s="178"/>
      <c r="P339" s="92"/>
    </row>
    <row r="340" spans="1:16" ht="31.5" x14ac:dyDescent="0.2">
      <c r="A340" s="42"/>
      <c r="B340" s="168" t="s">
        <v>35</v>
      </c>
      <c r="C340" s="169" t="s">
        <v>365</v>
      </c>
      <c r="D340" s="170" t="s">
        <v>36</v>
      </c>
      <c r="E340" s="171"/>
      <c r="F340" s="172">
        <v>1203</v>
      </c>
      <c r="G340" s="172">
        <f>138.5+200-138.5</f>
        <v>200</v>
      </c>
      <c r="H340" s="172">
        <f>1203+G340</f>
        <v>1403</v>
      </c>
      <c r="I340" s="188">
        <v>0</v>
      </c>
      <c r="J340" s="189"/>
      <c r="K340" s="188">
        <v>0</v>
      </c>
      <c r="L340" s="172">
        <v>1203</v>
      </c>
      <c r="M340" s="172">
        <f>SUM(G340)</f>
        <v>200</v>
      </c>
      <c r="N340" s="172">
        <f>1203+M340</f>
        <v>1403</v>
      </c>
      <c r="O340" s="178"/>
      <c r="P340" s="92"/>
    </row>
    <row r="341" spans="1:16" ht="18.75" x14ac:dyDescent="0.2">
      <c r="A341" s="42"/>
      <c r="B341" s="168" t="s">
        <v>41</v>
      </c>
      <c r="C341" s="169" t="s">
        <v>365</v>
      </c>
      <c r="D341" s="170" t="s">
        <v>42</v>
      </c>
      <c r="E341" s="171"/>
      <c r="F341" s="172">
        <v>835.9</v>
      </c>
      <c r="G341" s="172">
        <v>138.5</v>
      </c>
      <c r="H341" s="172">
        <f>835.9+G341</f>
        <v>974.4</v>
      </c>
      <c r="I341" s="188">
        <v>0</v>
      </c>
      <c r="J341" s="189"/>
      <c r="K341" s="188">
        <v>0</v>
      </c>
      <c r="L341" s="172">
        <v>835.9</v>
      </c>
      <c r="M341" s="172">
        <f>SUM(G341)</f>
        <v>138.5</v>
      </c>
      <c r="N341" s="172">
        <f>SUM(L341:M341)</f>
        <v>974.4</v>
      </c>
      <c r="O341" s="178"/>
      <c r="P341" s="92"/>
    </row>
    <row r="342" spans="1:16" ht="18.75" x14ac:dyDescent="0.2">
      <c r="A342" s="49"/>
      <c r="B342" s="190" t="s">
        <v>366</v>
      </c>
      <c r="C342" s="191" t="s">
        <v>367</v>
      </c>
      <c r="D342" s="192" t="s">
        <v>26</v>
      </c>
      <c r="E342" s="193"/>
      <c r="F342" s="194">
        <f t="shared" ref="F342:N342" si="74">F343</f>
        <v>210.5</v>
      </c>
      <c r="G342" s="194">
        <f t="shared" si="74"/>
        <v>0</v>
      </c>
      <c r="H342" s="194">
        <f t="shared" si="74"/>
        <v>210.5</v>
      </c>
      <c r="I342" s="195">
        <f t="shared" si="74"/>
        <v>0</v>
      </c>
      <c r="J342" s="194">
        <f t="shared" si="74"/>
        <v>0</v>
      </c>
      <c r="K342" s="195">
        <f t="shared" si="74"/>
        <v>0</v>
      </c>
      <c r="L342" s="194">
        <f t="shared" si="74"/>
        <v>210.5</v>
      </c>
      <c r="M342" s="194">
        <f t="shared" si="74"/>
        <v>0</v>
      </c>
      <c r="N342" s="194">
        <f t="shared" si="74"/>
        <v>210.5</v>
      </c>
      <c r="O342" s="178"/>
      <c r="P342" s="92"/>
    </row>
    <row r="343" spans="1:16" ht="39" customHeight="1" x14ac:dyDescent="0.2">
      <c r="A343" s="42"/>
      <c r="B343" s="168" t="s">
        <v>368</v>
      </c>
      <c r="C343" s="169" t="s">
        <v>369</v>
      </c>
      <c r="D343" s="170" t="s">
        <v>26</v>
      </c>
      <c r="E343" s="171"/>
      <c r="F343" s="172">
        <f>F344+F346</f>
        <v>210.5</v>
      </c>
      <c r="G343" s="172">
        <f>G344+G346</f>
        <v>0</v>
      </c>
      <c r="H343" s="172">
        <f>H344+H346</f>
        <v>210.5</v>
      </c>
      <c r="I343" s="188">
        <f>I344+I346</f>
        <v>0</v>
      </c>
      <c r="J343" s="189"/>
      <c r="K343" s="188">
        <f>K344+K346</f>
        <v>0</v>
      </c>
      <c r="L343" s="172">
        <f>L344+L346</f>
        <v>210.5</v>
      </c>
      <c r="M343" s="172">
        <f>M344+M346</f>
        <v>0</v>
      </c>
      <c r="N343" s="172">
        <f>N344+N346</f>
        <v>210.5</v>
      </c>
      <c r="O343" s="178"/>
      <c r="P343" s="92"/>
    </row>
    <row r="344" spans="1:16" ht="18.75" x14ac:dyDescent="0.2">
      <c r="A344" s="42"/>
      <c r="B344" s="168" t="s">
        <v>370</v>
      </c>
      <c r="C344" s="169" t="s">
        <v>371</v>
      </c>
      <c r="D344" s="170" t="s">
        <v>26</v>
      </c>
      <c r="E344" s="171"/>
      <c r="F344" s="172">
        <f>F345</f>
        <v>10.5</v>
      </c>
      <c r="G344" s="172">
        <f>G345</f>
        <v>0</v>
      </c>
      <c r="H344" s="172">
        <f>H345</f>
        <v>10.5</v>
      </c>
      <c r="I344" s="188">
        <f>I345</f>
        <v>0</v>
      </c>
      <c r="J344" s="189"/>
      <c r="K344" s="188">
        <f>K345</f>
        <v>0</v>
      </c>
      <c r="L344" s="172">
        <f>L345</f>
        <v>10.5</v>
      </c>
      <c r="M344" s="172">
        <f>M345</f>
        <v>0</v>
      </c>
      <c r="N344" s="172">
        <f>N345</f>
        <v>10.5</v>
      </c>
      <c r="O344" s="178"/>
      <c r="P344" s="92"/>
    </row>
    <row r="345" spans="1:16" ht="22.15" customHeight="1" x14ac:dyDescent="0.2">
      <c r="A345" s="42"/>
      <c r="B345" s="168" t="s">
        <v>372</v>
      </c>
      <c r="C345" s="169" t="s">
        <v>371</v>
      </c>
      <c r="D345" s="170" t="s">
        <v>373</v>
      </c>
      <c r="E345" s="171"/>
      <c r="F345" s="172">
        <v>10.5</v>
      </c>
      <c r="G345" s="172"/>
      <c r="H345" s="172">
        <v>10.5</v>
      </c>
      <c r="I345" s="188">
        <v>0</v>
      </c>
      <c r="J345" s="189"/>
      <c r="K345" s="188">
        <v>0</v>
      </c>
      <c r="L345" s="172">
        <f>SUM(F345)</f>
        <v>10.5</v>
      </c>
      <c r="M345" s="172">
        <f>SUM(G345)</f>
        <v>0</v>
      </c>
      <c r="N345" s="172">
        <f>SUM(H345)</f>
        <v>10.5</v>
      </c>
      <c r="O345" s="178"/>
      <c r="P345" s="92"/>
    </row>
    <row r="346" spans="1:16" ht="31.5" x14ac:dyDescent="0.2">
      <c r="A346" s="42"/>
      <c r="B346" s="168" t="s">
        <v>374</v>
      </c>
      <c r="C346" s="169" t="s">
        <v>375</v>
      </c>
      <c r="D346" s="170" t="s">
        <v>26</v>
      </c>
      <c r="E346" s="171"/>
      <c r="F346" s="172">
        <f>F347</f>
        <v>200</v>
      </c>
      <c r="G346" s="172">
        <f>G347</f>
        <v>0</v>
      </c>
      <c r="H346" s="172">
        <f>H347</f>
        <v>200</v>
      </c>
      <c r="I346" s="188">
        <f>I347</f>
        <v>0</v>
      </c>
      <c r="J346" s="189"/>
      <c r="K346" s="188">
        <f>K347</f>
        <v>0</v>
      </c>
      <c r="L346" s="172">
        <f>L347</f>
        <v>200</v>
      </c>
      <c r="M346" s="172">
        <f>M347</f>
        <v>0</v>
      </c>
      <c r="N346" s="172">
        <f>N347</f>
        <v>200</v>
      </c>
      <c r="O346" s="178"/>
      <c r="P346" s="92"/>
    </row>
    <row r="347" spans="1:16" ht="31.5" x14ac:dyDescent="0.2">
      <c r="A347" s="42"/>
      <c r="B347" s="168" t="s">
        <v>35</v>
      </c>
      <c r="C347" s="169" t="s">
        <v>375</v>
      </c>
      <c r="D347" s="170" t="s">
        <v>36</v>
      </c>
      <c r="E347" s="171"/>
      <c r="F347" s="172">
        <v>200</v>
      </c>
      <c r="G347" s="172"/>
      <c r="H347" s="172">
        <v>200</v>
      </c>
      <c r="I347" s="188">
        <v>0</v>
      </c>
      <c r="J347" s="189"/>
      <c r="K347" s="188">
        <v>0</v>
      </c>
      <c r="L347" s="172">
        <v>200</v>
      </c>
      <c r="M347" s="172"/>
      <c r="N347" s="172">
        <v>200</v>
      </c>
      <c r="O347" s="178"/>
      <c r="P347" s="92"/>
    </row>
    <row r="348" spans="1:16" ht="31.5" x14ac:dyDescent="0.2">
      <c r="A348" s="49"/>
      <c r="B348" s="190" t="s">
        <v>376</v>
      </c>
      <c r="C348" s="191" t="s">
        <v>377</v>
      </c>
      <c r="D348" s="192" t="s">
        <v>26</v>
      </c>
      <c r="E348" s="193"/>
      <c r="F348" s="194">
        <f t="shared" ref="F348:N348" si="75">F349+F353+F356</f>
        <v>16488.100000000002</v>
      </c>
      <c r="G348" s="194">
        <f t="shared" si="75"/>
        <v>0</v>
      </c>
      <c r="H348" s="194">
        <f t="shared" si="75"/>
        <v>16488.100000000002</v>
      </c>
      <c r="I348" s="195">
        <f t="shared" si="75"/>
        <v>0</v>
      </c>
      <c r="J348" s="194">
        <f t="shared" si="75"/>
        <v>0</v>
      </c>
      <c r="K348" s="195">
        <f t="shared" si="75"/>
        <v>0</v>
      </c>
      <c r="L348" s="194">
        <f t="shared" si="75"/>
        <v>16488.100000000002</v>
      </c>
      <c r="M348" s="194">
        <f t="shared" si="75"/>
        <v>0</v>
      </c>
      <c r="N348" s="194">
        <f t="shared" si="75"/>
        <v>16488.100000000002</v>
      </c>
      <c r="O348" s="178"/>
      <c r="P348" s="92"/>
    </row>
    <row r="349" spans="1:16" ht="37.9" customHeight="1" x14ac:dyDescent="0.2">
      <c r="A349" s="42"/>
      <c r="B349" s="168" t="s">
        <v>378</v>
      </c>
      <c r="C349" s="169" t="s">
        <v>379</v>
      </c>
      <c r="D349" s="170" t="s">
        <v>26</v>
      </c>
      <c r="E349" s="171"/>
      <c r="F349" s="172">
        <f>F350</f>
        <v>3784.2</v>
      </c>
      <c r="G349" s="172">
        <f>G350</f>
        <v>0</v>
      </c>
      <c r="H349" s="172">
        <f>H350</f>
        <v>3784.2</v>
      </c>
      <c r="I349" s="188">
        <f>I350</f>
        <v>0</v>
      </c>
      <c r="J349" s="189"/>
      <c r="K349" s="188">
        <f>K350</f>
        <v>0</v>
      </c>
      <c r="L349" s="172">
        <f>L350</f>
        <v>3784.2</v>
      </c>
      <c r="M349" s="172">
        <f>M350</f>
        <v>0</v>
      </c>
      <c r="N349" s="172">
        <f>N350</f>
        <v>3784.2</v>
      </c>
      <c r="O349" s="178"/>
      <c r="P349" s="92"/>
    </row>
    <row r="350" spans="1:16" ht="31.5" x14ac:dyDescent="0.2">
      <c r="A350" s="42"/>
      <c r="B350" s="168" t="s">
        <v>93</v>
      </c>
      <c r="C350" s="169" t="s">
        <v>380</v>
      </c>
      <c r="D350" s="170" t="s">
        <v>26</v>
      </c>
      <c r="E350" s="171"/>
      <c r="F350" s="172">
        <f>F351+F352</f>
        <v>3784.2</v>
      </c>
      <c r="G350" s="172">
        <f>G351+G352</f>
        <v>0</v>
      </c>
      <c r="H350" s="172">
        <f>H351+H352</f>
        <v>3784.2</v>
      </c>
      <c r="I350" s="188">
        <f>I351+I352</f>
        <v>0</v>
      </c>
      <c r="J350" s="189"/>
      <c r="K350" s="188">
        <f>K351+K352</f>
        <v>0</v>
      </c>
      <c r="L350" s="172">
        <f>L351+L352</f>
        <v>3784.2</v>
      </c>
      <c r="M350" s="172">
        <f>M351+M352</f>
        <v>0</v>
      </c>
      <c r="N350" s="172">
        <f>N351+N352</f>
        <v>3784.2</v>
      </c>
      <c r="O350" s="178"/>
      <c r="P350" s="92"/>
    </row>
    <row r="351" spans="1:16" ht="64.900000000000006" customHeight="1" x14ac:dyDescent="0.2">
      <c r="A351" s="42"/>
      <c r="B351" s="168" t="s">
        <v>31</v>
      </c>
      <c r="C351" s="169" t="s">
        <v>380</v>
      </c>
      <c r="D351" s="170" t="s">
        <v>32</v>
      </c>
      <c r="E351" s="171"/>
      <c r="F351" s="172">
        <v>3766.6</v>
      </c>
      <c r="G351" s="172"/>
      <c r="H351" s="172">
        <f>SUM(F351)</f>
        <v>3766.6</v>
      </c>
      <c r="I351" s="188">
        <v>0</v>
      </c>
      <c r="J351" s="189"/>
      <c r="K351" s="188">
        <v>0</v>
      </c>
      <c r="L351" s="172">
        <f t="shared" ref="L351:N352" si="76">SUM(F351)</f>
        <v>3766.6</v>
      </c>
      <c r="M351" s="172">
        <f t="shared" si="76"/>
        <v>0</v>
      </c>
      <c r="N351" s="172">
        <f t="shared" si="76"/>
        <v>3766.6</v>
      </c>
      <c r="O351" s="178"/>
      <c r="P351" s="92"/>
    </row>
    <row r="352" spans="1:16" ht="31.5" x14ac:dyDescent="0.2">
      <c r="A352" s="42"/>
      <c r="B352" s="168" t="s">
        <v>35</v>
      </c>
      <c r="C352" s="169" t="s">
        <v>380</v>
      </c>
      <c r="D352" s="170" t="s">
        <v>36</v>
      </c>
      <c r="E352" s="171"/>
      <c r="F352" s="172">
        <v>17.600000000000001</v>
      </c>
      <c r="G352" s="215"/>
      <c r="H352" s="172">
        <f>SUM(F352)</f>
        <v>17.600000000000001</v>
      </c>
      <c r="I352" s="188">
        <v>0</v>
      </c>
      <c r="J352" s="189"/>
      <c r="K352" s="188">
        <v>0</v>
      </c>
      <c r="L352" s="172">
        <f t="shared" si="76"/>
        <v>17.600000000000001</v>
      </c>
      <c r="M352" s="172">
        <f t="shared" si="76"/>
        <v>0</v>
      </c>
      <c r="N352" s="172">
        <f t="shared" si="76"/>
        <v>17.600000000000001</v>
      </c>
      <c r="O352" s="178"/>
      <c r="P352" s="92"/>
    </row>
    <row r="353" spans="1:16" ht="47.25" x14ac:dyDescent="0.2">
      <c r="A353" s="42"/>
      <c r="B353" s="168" t="s">
        <v>381</v>
      </c>
      <c r="C353" s="169" t="s">
        <v>382</v>
      </c>
      <c r="D353" s="170" t="s">
        <v>26</v>
      </c>
      <c r="E353" s="171"/>
      <c r="F353" s="172">
        <f t="shared" ref="F353:N354" si="77">F354</f>
        <v>11636.5</v>
      </c>
      <c r="G353" s="172">
        <f t="shared" si="77"/>
        <v>0</v>
      </c>
      <c r="H353" s="172">
        <f t="shared" si="77"/>
        <v>11636.5</v>
      </c>
      <c r="I353" s="188">
        <f t="shared" si="77"/>
        <v>0</v>
      </c>
      <c r="J353" s="189"/>
      <c r="K353" s="188">
        <f t="shared" si="77"/>
        <v>0</v>
      </c>
      <c r="L353" s="172">
        <f t="shared" si="77"/>
        <v>11636.5</v>
      </c>
      <c r="M353" s="172">
        <f t="shared" si="77"/>
        <v>0</v>
      </c>
      <c r="N353" s="172">
        <f t="shared" si="77"/>
        <v>11636.5</v>
      </c>
      <c r="O353" s="178"/>
      <c r="P353" s="92"/>
    </row>
    <row r="354" spans="1:16" ht="31.5" x14ac:dyDescent="0.2">
      <c r="A354" s="42"/>
      <c r="B354" s="168" t="s">
        <v>39</v>
      </c>
      <c r="C354" s="169" t="s">
        <v>383</v>
      </c>
      <c r="D354" s="170" t="s">
        <v>26</v>
      </c>
      <c r="E354" s="171"/>
      <c r="F354" s="172">
        <f t="shared" si="77"/>
        <v>11636.5</v>
      </c>
      <c r="G354" s="172">
        <f t="shared" si="77"/>
        <v>0</v>
      </c>
      <c r="H354" s="172">
        <f t="shared" si="77"/>
        <v>11636.5</v>
      </c>
      <c r="I354" s="188">
        <f t="shared" si="77"/>
        <v>0</v>
      </c>
      <c r="J354" s="189"/>
      <c r="K354" s="188">
        <f t="shared" si="77"/>
        <v>0</v>
      </c>
      <c r="L354" s="172">
        <f t="shared" si="77"/>
        <v>11636.5</v>
      </c>
      <c r="M354" s="172">
        <f t="shared" si="77"/>
        <v>0</v>
      </c>
      <c r="N354" s="172">
        <f t="shared" si="77"/>
        <v>11636.5</v>
      </c>
      <c r="O354" s="178"/>
      <c r="P354" s="92"/>
    </row>
    <row r="355" spans="1:16" ht="31.5" x14ac:dyDescent="0.2">
      <c r="A355" s="42"/>
      <c r="B355" s="168" t="s">
        <v>74</v>
      </c>
      <c r="C355" s="169" t="s">
        <v>383</v>
      </c>
      <c r="D355" s="170" t="s">
        <v>75</v>
      </c>
      <c r="E355" s="171"/>
      <c r="F355" s="172">
        <v>11636.5</v>
      </c>
      <c r="G355" s="172"/>
      <c r="H355" s="172">
        <f>SUM(F355)</f>
        <v>11636.5</v>
      </c>
      <c r="I355" s="188">
        <v>0</v>
      </c>
      <c r="J355" s="189"/>
      <c r="K355" s="188">
        <v>0</v>
      </c>
      <c r="L355" s="172">
        <f>SUM(F355)</f>
        <v>11636.5</v>
      </c>
      <c r="M355" s="172">
        <f>SUM(G355)</f>
        <v>0</v>
      </c>
      <c r="N355" s="172">
        <f>SUM(L355)</f>
        <v>11636.5</v>
      </c>
      <c r="O355" s="178"/>
      <c r="P355" s="92"/>
    </row>
    <row r="356" spans="1:16" ht="36.6" customHeight="1" x14ac:dyDescent="0.2">
      <c r="A356" s="42"/>
      <c r="B356" s="168" t="s">
        <v>384</v>
      </c>
      <c r="C356" s="169" t="s">
        <v>385</v>
      </c>
      <c r="D356" s="170" t="s">
        <v>26</v>
      </c>
      <c r="E356" s="171"/>
      <c r="F356" s="172">
        <f>F357</f>
        <v>1067.4000000000001</v>
      </c>
      <c r="G356" s="172">
        <f>G357</f>
        <v>0</v>
      </c>
      <c r="H356" s="172">
        <f>H357</f>
        <v>1067.4000000000001</v>
      </c>
      <c r="I356" s="188">
        <f>I357</f>
        <v>0</v>
      </c>
      <c r="J356" s="189"/>
      <c r="K356" s="188">
        <f>K357</f>
        <v>0</v>
      </c>
      <c r="L356" s="172">
        <f>L357</f>
        <v>1067.4000000000001</v>
      </c>
      <c r="M356" s="172">
        <f>M357</f>
        <v>0</v>
      </c>
      <c r="N356" s="172">
        <f>N357</f>
        <v>1067.4000000000001</v>
      </c>
      <c r="O356" s="178"/>
      <c r="P356" s="92"/>
    </row>
    <row r="357" spans="1:16" ht="36" customHeight="1" x14ac:dyDescent="0.2">
      <c r="A357" s="42"/>
      <c r="B357" s="168" t="s">
        <v>386</v>
      </c>
      <c r="C357" s="169" t="s">
        <v>387</v>
      </c>
      <c r="D357" s="170" t="s">
        <v>26</v>
      </c>
      <c r="E357" s="171"/>
      <c r="F357" s="172">
        <f>F358+F359</f>
        <v>1067.4000000000001</v>
      </c>
      <c r="G357" s="172">
        <f>G358+G359</f>
        <v>0</v>
      </c>
      <c r="H357" s="172">
        <f>H358+H359</f>
        <v>1067.4000000000001</v>
      </c>
      <c r="I357" s="188">
        <f>I358+I359</f>
        <v>0</v>
      </c>
      <c r="J357" s="189"/>
      <c r="K357" s="188">
        <f>K358+K359</f>
        <v>0</v>
      </c>
      <c r="L357" s="172">
        <f>L358+L359</f>
        <v>1067.4000000000001</v>
      </c>
      <c r="M357" s="172">
        <f>M358+M359</f>
        <v>0</v>
      </c>
      <c r="N357" s="172">
        <f>SUM(L357)</f>
        <v>1067.4000000000001</v>
      </c>
      <c r="O357" s="178"/>
      <c r="P357" s="92"/>
    </row>
    <row r="358" spans="1:16" ht="31.5" x14ac:dyDescent="0.2">
      <c r="A358" s="42"/>
      <c r="B358" s="168" t="s">
        <v>35</v>
      </c>
      <c r="C358" s="169" t="s">
        <v>387</v>
      </c>
      <c r="D358" s="170" t="s">
        <v>36</v>
      </c>
      <c r="E358" s="171"/>
      <c r="F358" s="172">
        <v>1067.4000000000001</v>
      </c>
      <c r="G358" s="172"/>
      <c r="H358" s="172">
        <f>SUM(F358)</f>
        <v>1067.4000000000001</v>
      </c>
      <c r="I358" s="188">
        <v>0</v>
      </c>
      <c r="J358" s="189"/>
      <c r="K358" s="188">
        <v>0</v>
      </c>
      <c r="L358" s="172">
        <f>SUM(F358)</f>
        <v>1067.4000000000001</v>
      </c>
      <c r="M358" s="172">
        <f>SUM(G358)</f>
        <v>0</v>
      </c>
      <c r="N358" s="172">
        <f>SUM(H358)</f>
        <v>1067.4000000000001</v>
      </c>
      <c r="O358" s="178"/>
      <c r="P358" s="92"/>
    </row>
    <row r="359" spans="1:16" ht="18.75" x14ac:dyDescent="0.2">
      <c r="A359" s="42"/>
      <c r="B359" s="168" t="s">
        <v>41</v>
      </c>
      <c r="C359" s="169" t="s">
        <v>387</v>
      </c>
      <c r="D359" s="170" t="s">
        <v>42</v>
      </c>
      <c r="E359" s="171"/>
      <c r="F359" s="172">
        <v>0</v>
      </c>
      <c r="G359" s="172"/>
      <c r="H359" s="172"/>
      <c r="I359" s="188">
        <v>0</v>
      </c>
      <c r="J359" s="189"/>
      <c r="K359" s="188">
        <v>0</v>
      </c>
      <c r="L359" s="172"/>
      <c r="M359" s="172">
        <f>SUM(G359)</f>
        <v>0</v>
      </c>
      <c r="N359" s="172">
        <f>15+M359</f>
        <v>15</v>
      </c>
      <c r="O359" s="178"/>
      <c r="P359" s="92"/>
    </row>
    <row r="360" spans="1:16" ht="18.75" x14ac:dyDescent="0.2">
      <c r="A360" s="19" t="s">
        <v>388</v>
      </c>
      <c r="B360" s="182" t="s">
        <v>389</v>
      </c>
      <c r="C360" s="183" t="s">
        <v>390</v>
      </c>
      <c r="D360" s="184" t="s">
        <v>26</v>
      </c>
      <c r="E360" s="185"/>
      <c r="F360" s="186">
        <f t="shared" ref="F360:N362" si="78">F361</f>
        <v>1383.6</v>
      </c>
      <c r="G360" s="186">
        <f t="shared" si="78"/>
        <v>0</v>
      </c>
      <c r="H360" s="186">
        <f t="shared" si="78"/>
        <v>1383.6</v>
      </c>
      <c r="I360" s="187">
        <f t="shared" si="78"/>
        <v>0</v>
      </c>
      <c r="J360" s="186">
        <f>J361</f>
        <v>0</v>
      </c>
      <c r="K360" s="187">
        <f t="shared" si="78"/>
        <v>0</v>
      </c>
      <c r="L360" s="186">
        <f t="shared" si="78"/>
        <v>1383.6</v>
      </c>
      <c r="M360" s="186">
        <f t="shared" si="78"/>
        <v>0</v>
      </c>
      <c r="N360" s="186">
        <f t="shared" si="78"/>
        <v>1383.6</v>
      </c>
      <c r="O360" s="178"/>
      <c r="P360" s="92"/>
    </row>
    <row r="361" spans="1:16" ht="51.6" customHeight="1" x14ac:dyDescent="0.2">
      <c r="A361" s="42"/>
      <c r="B361" s="168" t="s">
        <v>391</v>
      </c>
      <c r="C361" s="169" t="s">
        <v>392</v>
      </c>
      <c r="D361" s="170" t="s">
        <v>26</v>
      </c>
      <c r="E361" s="171"/>
      <c r="F361" s="172">
        <f t="shared" si="78"/>
        <v>1383.6</v>
      </c>
      <c r="G361" s="172">
        <f t="shared" si="78"/>
        <v>0</v>
      </c>
      <c r="H361" s="172">
        <f t="shared" si="78"/>
        <v>1383.6</v>
      </c>
      <c r="I361" s="188">
        <f t="shared" si="78"/>
        <v>0</v>
      </c>
      <c r="J361" s="189"/>
      <c r="K361" s="188">
        <f t="shared" si="78"/>
        <v>0</v>
      </c>
      <c r="L361" s="172">
        <f t="shared" si="78"/>
        <v>1383.6</v>
      </c>
      <c r="M361" s="172">
        <f t="shared" si="78"/>
        <v>0</v>
      </c>
      <c r="N361" s="172">
        <f t="shared" si="78"/>
        <v>1383.6</v>
      </c>
      <c r="O361" s="178"/>
      <c r="P361" s="92"/>
    </row>
    <row r="362" spans="1:16" ht="31.5" x14ac:dyDescent="0.2">
      <c r="A362" s="42"/>
      <c r="B362" s="168" t="s">
        <v>393</v>
      </c>
      <c r="C362" s="169" t="s">
        <v>394</v>
      </c>
      <c r="D362" s="170" t="s">
        <v>26</v>
      </c>
      <c r="E362" s="171"/>
      <c r="F362" s="172">
        <f t="shared" si="78"/>
        <v>1383.6</v>
      </c>
      <c r="G362" s="172">
        <f t="shared" si="78"/>
        <v>0</v>
      </c>
      <c r="H362" s="172">
        <f t="shared" si="78"/>
        <v>1383.6</v>
      </c>
      <c r="I362" s="188">
        <f t="shared" si="78"/>
        <v>0</v>
      </c>
      <c r="J362" s="189"/>
      <c r="K362" s="188">
        <f t="shared" si="78"/>
        <v>0</v>
      </c>
      <c r="L362" s="172">
        <f t="shared" si="78"/>
        <v>1383.6</v>
      </c>
      <c r="M362" s="172">
        <f t="shared" si="78"/>
        <v>0</v>
      </c>
      <c r="N362" s="172">
        <f t="shared" si="78"/>
        <v>1383.6</v>
      </c>
      <c r="O362" s="178"/>
      <c r="P362" s="92"/>
    </row>
    <row r="363" spans="1:16" ht="31.5" x14ac:dyDescent="0.2">
      <c r="A363" s="42"/>
      <c r="B363" s="168" t="s">
        <v>35</v>
      </c>
      <c r="C363" s="169" t="s">
        <v>394</v>
      </c>
      <c r="D363" s="170" t="s">
        <v>36</v>
      </c>
      <c r="E363" s="171"/>
      <c r="F363" s="172">
        <v>1383.6</v>
      </c>
      <c r="G363" s="172"/>
      <c r="H363" s="172">
        <f>SUM(F363)</f>
        <v>1383.6</v>
      </c>
      <c r="I363" s="188">
        <v>0</v>
      </c>
      <c r="J363" s="189"/>
      <c r="K363" s="188">
        <v>0</v>
      </c>
      <c r="L363" s="172">
        <f>SUM(F363)</f>
        <v>1383.6</v>
      </c>
      <c r="M363" s="172">
        <f>SUM(G363)</f>
        <v>0</v>
      </c>
      <c r="N363" s="172">
        <f>SUM(H363)</f>
        <v>1383.6</v>
      </c>
      <c r="O363" s="178"/>
      <c r="P363" s="92"/>
    </row>
    <row r="364" spans="1:16" ht="49.15" customHeight="1" x14ac:dyDescent="0.2">
      <c r="A364" s="19" t="s">
        <v>395</v>
      </c>
      <c r="B364" s="182" t="s">
        <v>396</v>
      </c>
      <c r="C364" s="183" t="s">
        <v>397</v>
      </c>
      <c r="D364" s="184" t="s">
        <v>26</v>
      </c>
      <c r="E364" s="185"/>
      <c r="F364" s="186">
        <f t="shared" ref="F364:N366" si="79">F365</f>
        <v>709.09999999999991</v>
      </c>
      <c r="G364" s="186">
        <f t="shared" si="79"/>
        <v>411.5</v>
      </c>
      <c r="H364" s="186">
        <f t="shared" si="79"/>
        <v>1120.5999999999999</v>
      </c>
      <c r="I364" s="187">
        <f t="shared" si="79"/>
        <v>0</v>
      </c>
      <c r="J364" s="186">
        <f>J365</f>
        <v>0</v>
      </c>
      <c r="K364" s="187">
        <f t="shared" si="79"/>
        <v>0</v>
      </c>
      <c r="L364" s="186">
        <f t="shared" si="79"/>
        <v>709.09999999999991</v>
      </c>
      <c r="M364" s="186">
        <f t="shared" si="79"/>
        <v>411.5</v>
      </c>
      <c r="N364" s="186">
        <f t="shared" si="79"/>
        <v>1120.5999999999999</v>
      </c>
      <c r="O364" s="178"/>
      <c r="P364" s="92"/>
    </row>
    <row r="365" spans="1:16" ht="30.6" customHeight="1" x14ac:dyDescent="0.2">
      <c r="A365" s="42"/>
      <c r="B365" s="168" t="s">
        <v>398</v>
      </c>
      <c r="C365" s="169" t="s">
        <v>399</v>
      </c>
      <c r="D365" s="170" t="s">
        <v>26</v>
      </c>
      <c r="E365" s="171"/>
      <c r="F365" s="172">
        <f>F366+F369</f>
        <v>709.09999999999991</v>
      </c>
      <c r="G365" s="172">
        <f>G366+G369</f>
        <v>411.5</v>
      </c>
      <c r="H365" s="172">
        <f>H366+H369</f>
        <v>1120.5999999999999</v>
      </c>
      <c r="I365" s="188">
        <f t="shared" si="79"/>
        <v>0</v>
      </c>
      <c r="J365" s="189"/>
      <c r="K365" s="188">
        <f t="shared" si="79"/>
        <v>0</v>
      </c>
      <c r="L365" s="172">
        <f>SUM(F365)</f>
        <v>709.09999999999991</v>
      </c>
      <c r="M365" s="172">
        <f>SUM(G365)</f>
        <v>411.5</v>
      </c>
      <c r="N365" s="172">
        <f>N366+N369</f>
        <v>1120.5999999999999</v>
      </c>
      <c r="O365" s="178"/>
      <c r="P365" s="92"/>
    </row>
    <row r="366" spans="1:16" ht="49.15" customHeight="1" x14ac:dyDescent="0.2">
      <c r="A366" s="42"/>
      <c r="B366" s="168" t="s">
        <v>400</v>
      </c>
      <c r="C366" s="169" t="s">
        <v>401</v>
      </c>
      <c r="D366" s="170" t="s">
        <v>26</v>
      </c>
      <c r="E366" s="171"/>
      <c r="F366" s="172">
        <f t="shared" si="79"/>
        <v>309.39999999999998</v>
      </c>
      <c r="G366" s="172">
        <f>G367+G368</f>
        <v>46.3</v>
      </c>
      <c r="H366" s="172">
        <f t="shared" si="79"/>
        <v>355.7</v>
      </c>
      <c r="I366" s="188">
        <f t="shared" si="79"/>
        <v>0</v>
      </c>
      <c r="J366" s="189"/>
      <c r="K366" s="188">
        <f t="shared" si="79"/>
        <v>0</v>
      </c>
      <c r="L366" s="172">
        <f t="shared" si="79"/>
        <v>309.39999999999998</v>
      </c>
      <c r="M366" s="172">
        <f t="shared" si="79"/>
        <v>46.3</v>
      </c>
      <c r="N366" s="172">
        <f t="shared" si="79"/>
        <v>355.7</v>
      </c>
      <c r="O366" s="178"/>
      <c r="P366" s="92"/>
    </row>
    <row r="367" spans="1:16" ht="31.5" x14ac:dyDescent="0.2">
      <c r="A367" s="57"/>
      <c r="B367" s="216" t="s">
        <v>35</v>
      </c>
      <c r="C367" s="217" t="s">
        <v>401</v>
      </c>
      <c r="D367" s="170" t="s">
        <v>36</v>
      </c>
      <c r="E367" s="171"/>
      <c r="F367" s="172">
        <v>309.39999999999998</v>
      </c>
      <c r="G367" s="172">
        <v>46.3</v>
      </c>
      <c r="H367" s="172">
        <f>SUM(F367:G367)</f>
        <v>355.7</v>
      </c>
      <c r="I367" s="188">
        <v>0</v>
      </c>
      <c r="J367" s="189"/>
      <c r="K367" s="188">
        <v>0</v>
      </c>
      <c r="L367" s="172">
        <f t="shared" ref="L367:N370" si="80">SUM(F367)</f>
        <v>309.39999999999998</v>
      </c>
      <c r="M367" s="172">
        <f t="shared" si="80"/>
        <v>46.3</v>
      </c>
      <c r="N367" s="172">
        <f t="shared" si="80"/>
        <v>355.7</v>
      </c>
      <c r="O367" s="178"/>
      <c r="P367" s="92"/>
    </row>
    <row r="368" spans="1:16" ht="18.75" x14ac:dyDescent="0.2">
      <c r="A368" s="133"/>
      <c r="B368" s="168" t="s">
        <v>54</v>
      </c>
      <c r="C368" s="217" t="s">
        <v>401</v>
      </c>
      <c r="D368" s="170" t="s">
        <v>55</v>
      </c>
      <c r="E368" s="171"/>
      <c r="F368" s="172">
        <v>200</v>
      </c>
      <c r="G368" s="172"/>
      <c r="H368" s="172">
        <f>SUM(F368)</f>
        <v>200</v>
      </c>
      <c r="I368" s="189"/>
      <c r="J368" s="189"/>
      <c r="K368" s="189"/>
      <c r="L368" s="172">
        <f>SUM(F368)</f>
        <v>200</v>
      </c>
      <c r="M368" s="172">
        <f>SUM(G368)</f>
        <v>0</v>
      </c>
      <c r="N368" s="172">
        <f>SUM(H368)</f>
        <v>200</v>
      </c>
      <c r="O368" s="178"/>
      <c r="P368" s="92"/>
    </row>
    <row r="369" spans="1:16" ht="31.5" x14ac:dyDescent="0.2">
      <c r="A369" s="133"/>
      <c r="B369" s="197" t="s">
        <v>402</v>
      </c>
      <c r="C369" s="169" t="s">
        <v>403</v>
      </c>
      <c r="D369" s="170"/>
      <c r="E369" s="171"/>
      <c r="F369" s="172">
        <v>399.7</v>
      </c>
      <c r="G369" s="172">
        <v>365.2</v>
      </c>
      <c r="H369" s="172">
        <f>SUM(F369)+G369</f>
        <v>764.9</v>
      </c>
      <c r="I369" s="189"/>
      <c r="J369" s="189"/>
      <c r="K369" s="189"/>
      <c r="L369" s="172">
        <f t="shared" si="80"/>
        <v>399.7</v>
      </c>
      <c r="M369" s="172">
        <f t="shared" si="80"/>
        <v>365.2</v>
      </c>
      <c r="N369" s="172">
        <f t="shared" si="80"/>
        <v>764.9</v>
      </c>
      <c r="O369" s="178"/>
      <c r="P369" s="92"/>
    </row>
    <row r="370" spans="1:16" ht="32.25" thickBot="1" x14ac:dyDescent="0.25">
      <c r="A370" s="133"/>
      <c r="B370" s="216" t="s">
        <v>35</v>
      </c>
      <c r="C370" s="169" t="s">
        <v>403</v>
      </c>
      <c r="D370" s="218" t="s">
        <v>36</v>
      </c>
      <c r="E370" s="218"/>
      <c r="F370" s="219">
        <v>399.7</v>
      </c>
      <c r="G370" s="219">
        <v>365.2</v>
      </c>
      <c r="H370" s="219">
        <f>SUM(F370)+G370</f>
        <v>764.9</v>
      </c>
      <c r="I370" s="220"/>
      <c r="J370" s="220"/>
      <c r="K370" s="220"/>
      <c r="L370" s="219">
        <f t="shared" si="80"/>
        <v>399.7</v>
      </c>
      <c r="M370" s="219">
        <f t="shared" si="80"/>
        <v>365.2</v>
      </c>
      <c r="N370" s="219">
        <f t="shared" si="80"/>
        <v>764.9</v>
      </c>
      <c r="O370" s="178"/>
      <c r="P370" s="92"/>
    </row>
    <row r="371" spans="1:16" ht="16.5" customHeight="1" thickBot="1" x14ac:dyDescent="0.25">
      <c r="A371" s="26" t="s">
        <v>404</v>
      </c>
      <c r="B371" s="447" t="s">
        <v>405</v>
      </c>
      <c r="C371" s="448"/>
      <c r="D371" s="449"/>
      <c r="E371" s="221"/>
      <c r="F371" s="222">
        <f>F372+F376+F382+F398</f>
        <v>45875</v>
      </c>
      <c r="G371" s="222">
        <f>G372+G376+G382+G398+G402</f>
        <v>-133.80000000000001</v>
      </c>
      <c r="H371" s="222">
        <f>H372+H376+H382+H398+H402</f>
        <v>46514.8</v>
      </c>
      <c r="I371" s="223">
        <f t="shared" ref="I371:N371" si="81">I372+I376+I382+I398</f>
        <v>768.1</v>
      </c>
      <c r="J371" s="222">
        <f t="shared" si="81"/>
        <v>0</v>
      </c>
      <c r="K371" s="223">
        <f t="shared" si="81"/>
        <v>768.1</v>
      </c>
      <c r="L371" s="222">
        <f t="shared" si="81"/>
        <v>46643.1</v>
      </c>
      <c r="M371" s="222">
        <f t="shared" si="81"/>
        <v>-136.5</v>
      </c>
      <c r="N371" s="222">
        <f t="shared" si="81"/>
        <v>46506.6</v>
      </c>
      <c r="O371" s="178"/>
      <c r="P371" s="92"/>
    </row>
    <row r="372" spans="1:16" ht="31.5" x14ac:dyDescent="0.2">
      <c r="A372" s="16" t="s">
        <v>406</v>
      </c>
      <c r="B372" s="224" t="s">
        <v>407</v>
      </c>
      <c r="C372" s="225" t="s">
        <v>408</v>
      </c>
      <c r="D372" s="226" t="s">
        <v>26</v>
      </c>
      <c r="E372" s="227"/>
      <c r="F372" s="228">
        <f t="shared" ref="F372:N374" si="82">F373</f>
        <v>2268.1</v>
      </c>
      <c r="G372" s="228">
        <f t="shared" si="82"/>
        <v>0</v>
      </c>
      <c r="H372" s="228">
        <f t="shared" si="82"/>
        <v>2268.1</v>
      </c>
      <c r="I372" s="229">
        <f t="shared" si="82"/>
        <v>0</v>
      </c>
      <c r="J372" s="228">
        <f>J373</f>
        <v>0</v>
      </c>
      <c r="K372" s="229">
        <f t="shared" si="82"/>
        <v>0</v>
      </c>
      <c r="L372" s="228">
        <f t="shared" si="82"/>
        <v>2268.1</v>
      </c>
      <c r="M372" s="228">
        <f t="shared" si="82"/>
        <v>0</v>
      </c>
      <c r="N372" s="228">
        <f t="shared" si="82"/>
        <v>2268.1</v>
      </c>
      <c r="O372" s="178"/>
      <c r="P372" s="92"/>
    </row>
    <row r="373" spans="1:16" ht="22.15" customHeight="1" x14ac:dyDescent="0.2">
      <c r="A373" s="49"/>
      <c r="B373" s="190" t="s">
        <v>409</v>
      </c>
      <c r="C373" s="191" t="s">
        <v>410</v>
      </c>
      <c r="D373" s="192" t="s">
        <v>26</v>
      </c>
      <c r="E373" s="193"/>
      <c r="F373" s="230">
        <f t="shared" si="82"/>
        <v>2268.1</v>
      </c>
      <c r="G373" s="230">
        <f t="shared" si="82"/>
        <v>0</v>
      </c>
      <c r="H373" s="230">
        <f t="shared" si="82"/>
        <v>2268.1</v>
      </c>
      <c r="I373" s="231">
        <f t="shared" si="82"/>
        <v>0</v>
      </c>
      <c r="J373" s="230">
        <f>J374</f>
        <v>0</v>
      </c>
      <c r="K373" s="231">
        <f t="shared" si="82"/>
        <v>0</v>
      </c>
      <c r="L373" s="230">
        <f t="shared" si="82"/>
        <v>2268.1</v>
      </c>
      <c r="M373" s="230">
        <f t="shared" si="82"/>
        <v>0</v>
      </c>
      <c r="N373" s="230">
        <f t="shared" si="82"/>
        <v>2268.1</v>
      </c>
      <c r="O373" s="178"/>
      <c r="P373" s="92"/>
    </row>
    <row r="374" spans="1:16" ht="31.5" x14ac:dyDescent="0.2">
      <c r="A374" s="42"/>
      <c r="B374" s="168" t="s">
        <v>93</v>
      </c>
      <c r="C374" s="169" t="s">
        <v>411</v>
      </c>
      <c r="D374" s="170" t="s">
        <v>26</v>
      </c>
      <c r="E374" s="171"/>
      <c r="F374" s="232">
        <f t="shared" si="82"/>
        <v>2268.1</v>
      </c>
      <c r="G374" s="232">
        <f t="shared" si="82"/>
        <v>0</v>
      </c>
      <c r="H374" s="232">
        <f t="shared" si="82"/>
        <v>2268.1</v>
      </c>
      <c r="I374" s="233">
        <f t="shared" si="82"/>
        <v>0</v>
      </c>
      <c r="J374" s="234"/>
      <c r="K374" s="233">
        <f t="shared" si="82"/>
        <v>0</v>
      </c>
      <c r="L374" s="232">
        <f t="shared" si="82"/>
        <v>2268.1</v>
      </c>
      <c r="M374" s="232">
        <f t="shared" si="82"/>
        <v>0</v>
      </c>
      <c r="N374" s="232">
        <f t="shared" si="82"/>
        <v>2268.1</v>
      </c>
      <c r="O374" s="178"/>
      <c r="P374" s="92"/>
    </row>
    <row r="375" spans="1:16" ht="69" customHeight="1" x14ac:dyDescent="0.2">
      <c r="A375" s="42"/>
      <c r="B375" s="168" t="s">
        <v>31</v>
      </c>
      <c r="C375" s="169" t="s">
        <v>411</v>
      </c>
      <c r="D375" s="170" t="s">
        <v>32</v>
      </c>
      <c r="E375" s="171"/>
      <c r="F375" s="232">
        <v>2268.1</v>
      </c>
      <c r="G375" s="232"/>
      <c r="H375" s="232">
        <f>SUM(F375)</f>
        <v>2268.1</v>
      </c>
      <c r="I375" s="233">
        <v>0</v>
      </c>
      <c r="J375" s="234"/>
      <c r="K375" s="233">
        <v>0</v>
      </c>
      <c r="L375" s="232">
        <f>SUM(F375)</f>
        <v>2268.1</v>
      </c>
      <c r="M375" s="232">
        <f>SUM(G375)</f>
        <v>0</v>
      </c>
      <c r="N375" s="232">
        <f>SUM(H375)</f>
        <v>2268.1</v>
      </c>
      <c r="O375" s="178"/>
      <c r="P375" s="92"/>
    </row>
    <row r="376" spans="1:16" ht="31.5" x14ac:dyDescent="0.2">
      <c r="A376" s="19" t="s">
        <v>412</v>
      </c>
      <c r="B376" s="182" t="s">
        <v>413</v>
      </c>
      <c r="C376" s="183" t="s">
        <v>414</v>
      </c>
      <c r="D376" s="184" t="s">
        <v>26</v>
      </c>
      <c r="E376" s="185"/>
      <c r="F376" s="235">
        <f t="shared" ref="F376:N376" si="83">F377</f>
        <v>1395.6</v>
      </c>
      <c r="G376" s="235">
        <f t="shared" si="83"/>
        <v>0</v>
      </c>
      <c r="H376" s="235">
        <f t="shared" si="83"/>
        <v>1395.6</v>
      </c>
      <c r="I376" s="236">
        <f t="shared" si="83"/>
        <v>0</v>
      </c>
      <c r="J376" s="235">
        <f t="shared" si="83"/>
        <v>0</v>
      </c>
      <c r="K376" s="236">
        <f t="shared" si="83"/>
        <v>0</v>
      </c>
      <c r="L376" s="235">
        <f t="shared" si="83"/>
        <v>1395.6</v>
      </c>
      <c r="M376" s="235">
        <f t="shared" si="83"/>
        <v>0</v>
      </c>
      <c r="N376" s="235">
        <f t="shared" si="83"/>
        <v>1395.6</v>
      </c>
      <c r="O376" s="178"/>
      <c r="P376" s="92"/>
    </row>
    <row r="377" spans="1:16" ht="31.5" x14ac:dyDescent="0.2">
      <c r="A377" s="49"/>
      <c r="B377" s="190" t="s">
        <v>415</v>
      </c>
      <c r="C377" s="191" t="s">
        <v>416</v>
      </c>
      <c r="D377" s="192" t="s">
        <v>26</v>
      </c>
      <c r="E377" s="193"/>
      <c r="F377" s="230">
        <f t="shared" ref="F377:N377" si="84">F378+F380</f>
        <v>1395.6</v>
      </c>
      <c r="G377" s="230">
        <f t="shared" si="84"/>
        <v>0</v>
      </c>
      <c r="H377" s="230">
        <f t="shared" si="84"/>
        <v>1395.6</v>
      </c>
      <c r="I377" s="231">
        <f t="shared" si="84"/>
        <v>0</v>
      </c>
      <c r="J377" s="230">
        <f t="shared" si="84"/>
        <v>0</v>
      </c>
      <c r="K377" s="231">
        <f t="shared" si="84"/>
        <v>0</v>
      </c>
      <c r="L377" s="230">
        <f t="shared" si="84"/>
        <v>1395.6</v>
      </c>
      <c r="M377" s="230">
        <f t="shared" si="84"/>
        <v>0</v>
      </c>
      <c r="N377" s="230">
        <f t="shared" si="84"/>
        <v>1395.6</v>
      </c>
      <c r="O377" s="178"/>
      <c r="P377" s="92"/>
    </row>
    <row r="378" spans="1:16" ht="31.5" x14ac:dyDescent="0.2">
      <c r="A378" s="42"/>
      <c r="B378" s="168" t="s">
        <v>93</v>
      </c>
      <c r="C378" s="169" t="s">
        <v>417</v>
      </c>
      <c r="D378" s="170" t="s">
        <v>26</v>
      </c>
      <c r="E378" s="171"/>
      <c r="F378" s="232">
        <f>F379</f>
        <v>8.1</v>
      </c>
      <c r="G378" s="232">
        <f>G379</f>
        <v>0</v>
      </c>
      <c r="H378" s="232">
        <f>H379</f>
        <v>8.1</v>
      </c>
      <c r="I378" s="233">
        <f>I379</f>
        <v>0</v>
      </c>
      <c r="J378" s="234"/>
      <c r="K378" s="233">
        <f>K379</f>
        <v>0</v>
      </c>
      <c r="L378" s="232">
        <f>L379</f>
        <v>8.1</v>
      </c>
      <c r="M378" s="232">
        <f>M379</f>
        <v>0</v>
      </c>
      <c r="N378" s="232">
        <f>N379</f>
        <v>8.1</v>
      </c>
      <c r="O378" s="178"/>
      <c r="P378" s="92"/>
    </row>
    <row r="379" spans="1:16" ht="31.5" x14ac:dyDescent="0.2">
      <c r="A379" s="42"/>
      <c r="B379" s="168" t="s">
        <v>35</v>
      </c>
      <c r="C379" s="169" t="s">
        <v>417</v>
      </c>
      <c r="D379" s="170" t="s">
        <v>36</v>
      </c>
      <c r="E379" s="171"/>
      <c r="F379" s="232">
        <f>8+0.1</f>
        <v>8.1</v>
      </c>
      <c r="G379" s="232"/>
      <c r="H379" s="232">
        <f>8+0.1</f>
        <v>8.1</v>
      </c>
      <c r="I379" s="233">
        <v>0</v>
      </c>
      <c r="J379" s="234"/>
      <c r="K379" s="233">
        <v>0</v>
      </c>
      <c r="L379" s="232">
        <f>8+0.1</f>
        <v>8.1</v>
      </c>
      <c r="M379" s="232"/>
      <c r="N379" s="232">
        <f>8+0.1</f>
        <v>8.1</v>
      </c>
      <c r="O379" s="178"/>
      <c r="P379" s="92"/>
    </row>
    <row r="380" spans="1:16" ht="50.45" customHeight="1" x14ac:dyDescent="0.2">
      <c r="A380" s="42"/>
      <c r="B380" s="168" t="s">
        <v>418</v>
      </c>
      <c r="C380" s="169" t="s">
        <v>419</v>
      </c>
      <c r="D380" s="170" t="s">
        <v>26</v>
      </c>
      <c r="E380" s="171"/>
      <c r="F380" s="232">
        <f>F381</f>
        <v>1387.5</v>
      </c>
      <c r="G380" s="232">
        <f>G381</f>
        <v>0</v>
      </c>
      <c r="H380" s="232">
        <f>H381</f>
        <v>1387.5</v>
      </c>
      <c r="I380" s="233">
        <f>I381</f>
        <v>0</v>
      </c>
      <c r="J380" s="234"/>
      <c r="K380" s="233">
        <f>K381</f>
        <v>0</v>
      </c>
      <c r="L380" s="232">
        <f>L381</f>
        <v>1387.5</v>
      </c>
      <c r="M380" s="232">
        <f>M381</f>
        <v>0</v>
      </c>
      <c r="N380" s="232">
        <f>N381</f>
        <v>1387.5</v>
      </c>
      <c r="O380" s="178"/>
      <c r="P380" s="92"/>
    </row>
    <row r="381" spans="1:16" ht="18.75" x14ac:dyDescent="0.2">
      <c r="A381" s="42"/>
      <c r="B381" s="168" t="s">
        <v>278</v>
      </c>
      <c r="C381" s="169" t="s">
        <v>419</v>
      </c>
      <c r="D381" s="170" t="s">
        <v>279</v>
      </c>
      <c r="E381" s="171"/>
      <c r="F381" s="232">
        <f>1387.6-0.1</f>
        <v>1387.5</v>
      </c>
      <c r="G381" s="232"/>
      <c r="H381" s="232">
        <f>1387.6-0.1</f>
        <v>1387.5</v>
      </c>
      <c r="I381" s="233">
        <v>0</v>
      </c>
      <c r="J381" s="234"/>
      <c r="K381" s="233">
        <v>0</v>
      </c>
      <c r="L381" s="232">
        <f>1387.6-0.1</f>
        <v>1387.5</v>
      </c>
      <c r="M381" s="232"/>
      <c r="N381" s="232">
        <f>1387.6-0.1</f>
        <v>1387.5</v>
      </c>
      <c r="O381" s="178"/>
      <c r="P381" s="92"/>
    </row>
    <row r="382" spans="1:16" ht="31.5" x14ac:dyDescent="0.2">
      <c r="A382" s="19" t="s">
        <v>420</v>
      </c>
      <c r="B382" s="182" t="s">
        <v>421</v>
      </c>
      <c r="C382" s="183" t="s">
        <v>422</v>
      </c>
      <c r="D382" s="184" t="s">
        <v>26</v>
      </c>
      <c r="E382" s="185"/>
      <c r="F382" s="235">
        <f t="shared" ref="F382:N382" si="85">F383+F388+F394</f>
        <v>41437.700000000004</v>
      </c>
      <c r="G382" s="235">
        <f t="shared" si="85"/>
        <v>-139.19999999999999</v>
      </c>
      <c r="H382" s="235">
        <f t="shared" si="85"/>
        <v>41298.5</v>
      </c>
      <c r="I382" s="236">
        <f t="shared" si="85"/>
        <v>768.1</v>
      </c>
      <c r="J382" s="235">
        <f t="shared" si="85"/>
        <v>0</v>
      </c>
      <c r="K382" s="236">
        <f t="shared" si="85"/>
        <v>768.1</v>
      </c>
      <c r="L382" s="235">
        <f t="shared" si="85"/>
        <v>42205.8</v>
      </c>
      <c r="M382" s="235">
        <f t="shared" si="85"/>
        <v>-139.19999999999999</v>
      </c>
      <c r="N382" s="235">
        <f t="shared" si="85"/>
        <v>42066.6</v>
      </c>
      <c r="O382" s="178"/>
      <c r="P382" s="92"/>
    </row>
    <row r="383" spans="1:16" ht="31.5" x14ac:dyDescent="0.2">
      <c r="A383" s="49"/>
      <c r="B383" s="190" t="s">
        <v>423</v>
      </c>
      <c r="C383" s="191" t="s">
        <v>424</v>
      </c>
      <c r="D383" s="192" t="s">
        <v>26</v>
      </c>
      <c r="E383" s="193"/>
      <c r="F383" s="230">
        <f t="shared" ref="F383:N383" si="86">F384</f>
        <v>35744.700000000004</v>
      </c>
      <c r="G383" s="230">
        <f t="shared" si="86"/>
        <v>-139.19999999999999</v>
      </c>
      <c r="H383" s="230">
        <f t="shared" si="86"/>
        <v>35605.5</v>
      </c>
      <c r="I383" s="231">
        <f t="shared" si="86"/>
        <v>0</v>
      </c>
      <c r="J383" s="230">
        <f t="shared" si="86"/>
        <v>0</v>
      </c>
      <c r="K383" s="231">
        <f t="shared" si="86"/>
        <v>0</v>
      </c>
      <c r="L383" s="230">
        <f t="shared" si="86"/>
        <v>35744.700000000004</v>
      </c>
      <c r="M383" s="230">
        <f t="shared" si="86"/>
        <v>-139.19999999999999</v>
      </c>
      <c r="N383" s="230">
        <f t="shared" si="86"/>
        <v>35605.5</v>
      </c>
      <c r="O383" s="178"/>
      <c r="P383" s="92"/>
    </row>
    <row r="384" spans="1:16" ht="31.5" x14ac:dyDescent="0.2">
      <c r="A384" s="42"/>
      <c r="B384" s="168" t="s">
        <v>93</v>
      </c>
      <c r="C384" s="169" t="s">
        <v>425</v>
      </c>
      <c r="D384" s="170" t="s">
        <v>26</v>
      </c>
      <c r="E384" s="171"/>
      <c r="F384" s="232">
        <f>F385+F386+F387</f>
        <v>35744.700000000004</v>
      </c>
      <c r="G384" s="232">
        <f>G385+G386+G387</f>
        <v>-139.19999999999999</v>
      </c>
      <c r="H384" s="232">
        <f>H385+H386+H387</f>
        <v>35605.5</v>
      </c>
      <c r="I384" s="233">
        <f>I385+I386+I387</f>
        <v>0</v>
      </c>
      <c r="J384" s="234"/>
      <c r="K384" s="233">
        <f>K385+K386+K387</f>
        <v>0</v>
      </c>
      <c r="L384" s="232">
        <f>L385+L386+L387</f>
        <v>35744.700000000004</v>
      </c>
      <c r="M384" s="232">
        <f>M385+M386+M387</f>
        <v>-139.19999999999999</v>
      </c>
      <c r="N384" s="232">
        <f>N385+N386+N387</f>
        <v>35605.5</v>
      </c>
      <c r="O384" s="178"/>
      <c r="P384" s="92"/>
    </row>
    <row r="385" spans="1:16" ht="70.150000000000006" customHeight="1" x14ac:dyDescent="0.2">
      <c r="A385" s="42"/>
      <c r="B385" s="168" t="s">
        <v>31</v>
      </c>
      <c r="C385" s="169" t="s">
        <v>425</v>
      </c>
      <c r="D385" s="170" t="s">
        <v>32</v>
      </c>
      <c r="E385" s="171"/>
      <c r="F385" s="232">
        <v>35274.800000000003</v>
      </c>
      <c r="G385" s="232">
        <v>30</v>
      </c>
      <c r="H385" s="232">
        <f>SUM(F385)+G385</f>
        <v>35304.800000000003</v>
      </c>
      <c r="I385" s="233">
        <v>0</v>
      </c>
      <c r="J385" s="234"/>
      <c r="K385" s="233">
        <v>0</v>
      </c>
      <c r="L385" s="232">
        <f>SUM(F385)</f>
        <v>35274.800000000003</v>
      </c>
      <c r="M385" s="232">
        <f>SUM(G385)</f>
        <v>30</v>
      </c>
      <c r="N385" s="232">
        <f>SUM(M385)+L385</f>
        <v>35304.800000000003</v>
      </c>
      <c r="O385" s="178"/>
      <c r="P385" s="92"/>
    </row>
    <row r="386" spans="1:16" ht="31.5" x14ac:dyDescent="0.2">
      <c r="A386" s="42"/>
      <c r="B386" s="168" t="s">
        <v>35</v>
      </c>
      <c r="C386" s="169" t="s">
        <v>425</v>
      </c>
      <c r="D386" s="170" t="s">
        <v>36</v>
      </c>
      <c r="E386" s="171"/>
      <c r="F386" s="232">
        <v>291.39999999999998</v>
      </c>
      <c r="G386" s="232">
        <f>-30-0.7</f>
        <v>-30.7</v>
      </c>
      <c r="H386" s="232">
        <f>291.4+G386</f>
        <v>260.7</v>
      </c>
      <c r="I386" s="233">
        <v>0</v>
      </c>
      <c r="J386" s="234"/>
      <c r="K386" s="233">
        <v>0</v>
      </c>
      <c r="L386" s="232">
        <v>291.39999999999998</v>
      </c>
      <c r="M386" s="232">
        <f>SUM(G386)</f>
        <v>-30.7</v>
      </c>
      <c r="N386" s="232">
        <f>291.4+M386</f>
        <v>260.7</v>
      </c>
      <c r="O386" s="178"/>
      <c r="P386" s="92"/>
    </row>
    <row r="387" spans="1:16" ht="18.75" x14ac:dyDescent="0.2">
      <c r="A387" s="42"/>
      <c r="B387" s="168" t="s">
        <v>41</v>
      </c>
      <c r="C387" s="169" t="s">
        <v>425</v>
      </c>
      <c r="D387" s="170" t="s">
        <v>42</v>
      </c>
      <c r="E387" s="171"/>
      <c r="F387" s="232">
        <v>178.5</v>
      </c>
      <c r="G387" s="232">
        <v>-138.5</v>
      </c>
      <c r="H387" s="232">
        <f>SUM(F387)+G387</f>
        <v>40</v>
      </c>
      <c r="I387" s="233">
        <v>0</v>
      </c>
      <c r="J387" s="234"/>
      <c r="K387" s="233">
        <v>0</v>
      </c>
      <c r="L387" s="232">
        <f>SUM(F387)</f>
        <v>178.5</v>
      </c>
      <c r="M387" s="232">
        <f>SUM(G387)</f>
        <v>-138.5</v>
      </c>
      <c r="N387" s="232">
        <f>SUM(H387)</f>
        <v>40</v>
      </c>
      <c r="O387" s="178"/>
      <c r="P387" s="92"/>
    </row>
    <row r="388" spans="1:16" ht="21.6" customHeight="1" x14ac:dyDescent="0.2">
      <c r="A388" s="49"/>
      <c r="B388" s="168" t="s">
        <v>426</v>
      </c>
      <c r="C388" s="169" t="s">
        <v>427</v>
      </c>
      <c r="D388" s="170" t="s">
        <v>26</v>
      </c>
      <c r="E388" s="171"/>
      <c r="F388" s="232">
        <f>F392</f>
        <v>0</v>
      </c>
      <c r="G388" s="232">
        <f>G392</f>
        <v>0</v>
      </c>
      <c r="H388" s="232">
        <f>H392</f>
        <v>0</v>
      </c>
      <c r="I388" s="233">
        <f>I392+I389</f>
        <v>768.1</v>
      </c>
      <c r="J388" s="234"/>
      <c r="K388" s="233">
        <f>K392+K389</f>
        <v>768.1</v>
      </c>
      <c r="L388" s="233">
        <f>L392+L389</f>
        <v>768.1</v>
      </c>
      <c r="M388" s="232">
        <f>M392</f>
        <v>0</v>
      </c>
      <c r="N388" s="233">
        <f>N392+N389</f>
        <v>768.1</v>
      </c>
      <c r="O388" s="178"/>
      <c r="P388" s="92"/>
    </row>
    <row r="389" spans="1:16" ht="125.45" customHeight="1" x14ac:dyDescent="0.2">
      <c r="A389" s="49"/>
      <c r="B389" s="237" t="s">
        <v>428</v>
      </c>
      <c r="C389" s="169" t="s">
        <v>429</v>
      </c>
      <c r="D389" s="170"/>
      <c r="E389" s="171"/>
      <c r="F389" s="232"/>
      <c r="G389" s="232"/>
      <c r="H389" s="232"/>
      <c r="I389" s="233">
        <f>SUM(I390+I391)</f>
        <v>755.7</v>
      </c>
      <c r="J389" s="234"/>
      <c r="K389" s="233">
        <f>SUM(K390+K391)</f>
        <v>755.7</v>
      </c>
      <c r="L389" s="233">
        <f>SUM(L390+L391)</f>
        <v>755.7</v>
      </c>
      <c r="M389" s="232"/>
      <c r="N389" s="233">
        <f>SUM(N390+N391)</f>
        <v>755.7</v>
      </c>
      <c r="O389" s="178"/>
      <c r="P389" s="92"/>
    </row>
    <row r="390" spans="1:16" ht="66" customHeight="1" x14ac:dyDescent="0.2">
      <c r="A390" s="49"/>
      <c r="B390" s="168" t="s">
        <v>31</v>
      </c>
      <c r="C390" s="169" t="s">
        <v>429</v>
      </c>
      <c r="D390" s="170" t="s">
        <v>32</v>
      </c>
      <c r="E390" s="171"/>
      <c r="F390" s="232"/>
      <c r="G390" s="232"/>
      <c r="H390" s="232"/>
      <c r="I390" s="233">
        <v>674.7</v>
      </c>
      <c r="J390" s="234"/>
      <c r="K390" s="233">
        <v>674.7</v>
      </c>
      <c r="L390" s="233">
        <v>674.7</v>
      </c>
      <c r="M390" s="232"/>
      <c r="N390" s="233">
        <v>674.7</v>
      </c>
      <c r="O390" s="178"/>
      <c r="P390" s="92"/>
    </row>
    <row r="391" spans="1:16" ht="23.45" customHeight="1" x14ac:dyDescent="0.2">
      <c r="A391" s="49"/>
      <c r="B391" s="168" t="s">
        <v>35</v>
      </c>
      <c r="C391" s="169" t="s">
        <v>429</v>
      </c>
      <c r="D391" s="170" t="s">
        <v>36</v>
      </c>
      <c r="E391" s="171"/>
      <c r="F391" s="232"/>
      <c r="G391" s="232"/>
      <c r="H391" s="232"/>
      <c r="I391" s="233">
        <v>81</v>
      </c>
      <c r="J391" s="234"/>
      <c r="K391" s="233">
        <v>81</v>
      </c>
      <c r="L391" s="233">
        <v>81</v>
      </c>
      <c r="M391" s="232"/>
      <c r="N391" s="233">
        <v>81</v>
      </c>
      <c r="O391" s="178"/>
      <c r="P391" s="92"/>
    </row>
    <row r="392" spans="1:16" ht="47.25" x14ac:dyDescent="0.2">
      <c r="A392" s="42"/>
      <c r="B392" s="168" t="s">
        <v>430</v>
      </c>
      <c r="C392" s="169" t="s">
        <v>431</v>
      </c>
      <c r="D392" s="170" t="s">
        <v>26</v>
      </c>
      <c r="E392" s="171"/>
      <c r="F392" s="232">
        <f t="shared" ref="F392:N392" si="87">F393</f>
        <v>0</v>
      </c>
      <c r="G392" s="232">
        <f t="shared" si="87"/>
        <v>0</v>
      </c>
      <c r="H392" s="232">
        <f t="shared" si="87"/>
        <v>0</v>
      </c>
      <c r="I392" s="233">
        <f t="shared" si="87"/>
        <v>12.4</v>
      </c>
      <c r="J392" s="234"/>
      <c r="K392" s="233">
        <f t="shared" si="87"/>
        <v>12.4</v>
      </c>
      <c r="L392" s="232">
        <f t="shared" si="87"/>
        <v>12.4</v>
      </c>
      <c r="M392" s="232">
        <f t="shared" si="87"/>
        <v>0</v>
      </c>
      <c r="N392" s="232">
        <f t="shared" si="87"/>
        <v>12.4</v>
      </c>
      <c r="O392" s="178"/>
      <c r="P392" s="92"/>
    </row>
    <row r="393" spans="1:16" ht="31.5" x14ac:dyDescent="0.2">
      <c r="A393" s="42"/>
      <c r="B393" s="168" t="s">
        <v>35</v>
      </c>
      <c r="C393" s="169" t="s">
        <v>431</v>
      </c>
      <c r="D393" s="170" t="s">
        <v>36</v>
      </c>
      <c r="E393" s="171"/>
      <c r="F393" s="232">
        <v>0</v>
      </c>
      <c r="G393" s="232">
        <v>0</v>
      </c>
      <c r="H393" s="232">
        <v>0</v>
      </c>
      <c r="I393" s="233">
        <v>12.4</v>
      </c>
      <c r="J393" s="234"/>
      <c r="K393" s="233">
        <v>12.4</v>
      </c>
      <c r="L393" s="232">
        <v>12.4</v>
      </c>
      <c r="M393" s="232">
        <v>0</v>
      </c>
      <c r="N393" s="232">
        <v>12.4</v>
      </c>
      <c r="O393" s="178"/>
      <c r="P393" s="92"/>
    </row>
    <row r="394" spans="1:16" ht="18.75" x14ac:dyDescent="0.2">
      <c r="A394" s="49"/>
      <c r="B394" s="190" t="s">
        <v>432</v>
      </c>
      <c r="C394" s="191" t="s">
        <v>433</v>
      </c>
      <c r="D394" s="192" t="s">
        <v>26</v>
      </c>
      <c r="E394" s="193"/>
      <c r="F394" s="230">
        <f t="shared" ref="F394:N394" si="88">F395</f>
        <v>5693</v>
      </c>
      <c r="G394" s="230">
        <f t="shared" si="88"/>
        <v>0</v>
      </c>
      <c r="H394" s="230">
        <f t="shared" si="88"/>
        <v>5693</v>
      </c>
      <c r="I394" s="231">
        <f t="shared" si="88"/>
        <v>0</v>
      </c>
      <c r="J394" s="230">
        <f t="shared" si="88"/>
        <v>0</v>
      </c>
      <c r="K394" s="231">
        <f t="shared" si="88"/>
        <v>0</v>
      </c>
      <c r="L394" s="230">
        <f t="shared" si="88"/>
        <v>5693</v>
      </c>
      <c r="M394" s="230">
        <f t="shared" si="88"/>
        <v>0</v>
      </c>
      <c r="N394" s="230">
        <f t="shared" si="88"/>
        <v>5693</v>
      </c>
      <c r="O394" s="178"/>
      <c r="P394" s="92"/>
    </row>
    <row r="395" spans="1:16" ht="31.5" x14ac:dyDescent="0.2">
      <c r="A395" s="42"/>
      <c r="B395" s="168" t="s">
        <v>434</v>
      </c>
      <c r="C395" s="169" t="s">
        <v>435</v>
      </c>
      <c r="D395" s="170" t="s">
        <v>26</v>
      </c>
      <c r="E395" s="171"/>
      <c r="F395" s="232">
        <f>F397+F396</f>
        <v>5693</v>
      </c>
      <c r="G395" s="232">
        <f>SUM(G397)+G396</f>
        <v>0</v>
      </c>
      <c r="H395" s="232">
        <f>H397+H396</f>
        <v>5693</v>
      </c>
      <c r="I395" s="233">
        <f>I397</f>
        <v>0</v>
      </c>
      <c r="J395" s="234"/>
      <c r="K395" s="233">
        <f>K397</f>
        <v>0</v>
      </c>
      <c r="L395" s="232">
        <f>SUM(F395)</f>
        <v>5693</v>
      </c>
      <c r="M395" s="232">
        <f>SUM(M397)+M396</f>
        <v>0</v>
      </c>
      <c r="N395" s="232">
        <f>SUM(H395)</f>
        <v>5693</v>
      </c>
      <c r="O395" s="178"/>
      <c r="P395" s="92"/>
    </row>
    <row r="396" spans="1:16" ht="31.5" x14ac:dyDescent="0.2">
      <c r="A396" s="42"/>
      <c r="B396" s="168" t="s">
        <v>35</v>
      </c>
      <c r="C396" s="169" t="s">
        <v>435</v>
      </c>
      <c r="D396" s="170" t="s">
        <v>36</v>
      </c>
      <c r="E396" s="171"/>
      <c r="F396" s="232">
        <v>3601.8</v>
      </c>
      <c r="G396" s="232">
        <v>15.9</v>
      </c>
      <c r="H396" s="232">
        <f>SUM(F396)+G396</f>
        <v>3617.7000000000003</v>
      </c>
      <c r="I396" s="233"/>
      <c r="J396" s="234"/>
      <c r="K396" s="233"/>
      <c r="L396" s="232">
        <f>SUM(F396)</f>
        <v>3601.8</v>
      </c>
      <c r="M396" s="232">
        <f>SUM(G396)</f>
        <v>15.9</v>
      </c>
      <c r="N396" s="232">
        <f>SUM(H396)</f>
        <v>3617.7000000000003</v>
      </c>
      <c r="O396" s="178"/>
      <c r="P396" s="92"/>
    </row>
    <row r="397" spans="1:16" ht="18.75" x14ac:dyDescent="0.2">
      <c r="A397" s="42"/>
      <c r="B397" s="168" t="s">
        <v>41</v>
      </c>
      <c r="C397" s="169" t="s">
        <v>435</v>
      </c>
      <c r="D397" s="170" t="s">
        <v>42</v>
      </c>
      <c r="E397" s="171"/>
      <c r="F397" s="232">
        <v>2091.1999999999998</v>
      </c>
      <c r="G397" s="232">
        <v>-15.9</v>
      </c>
      <c r="H397" s="232">
        <f>2091.2+G397</f>
        <v>2075.2999999999997</v>
      </c>
      <c r="I397" s="233">
        <v>0</v>
      </c>
      <c r="J397" s="234"/>
      <c r="K397" s="233">
        <v>0</v>
      </c>
      <c r="L397" s="232">
        <f>F397</f>
        <v>2091.1999999999998</v>
      </c>
      <c r="M397" s="232">
        <f>SUM(G397)</f>
        <v>-15.9</v>
      </c>
      <c r="N397" s="232">
        <f>L397+M397</f>
        <v>2075.2999999999997</v>
      </c>
      <c r="O397" s="178"/>
      <c r="P397" s="92"/>
    </row>
    <row r="398" spans="1:16" ht="37.15" customHeight="1" x14ac:dyDescent="0.2">
      <c r="A398" s="19" t="s">
        <v>436</v>
      </c>
      <c r="B398" s="182" t="s">
        <v>437</v>
      </c>
      <c r="C398" s="183" t="s">
        <v>438</v>
      </c>
      <c r="D398" s="184" t="s">
        <v>26</v>
      </c>
      <c r="E398" s="185"/>
      <c r="F398" s="235">
        <f>F402</f>
        <v>773.6</v>
      </c>
      <c r="G398" s="238">
        <f>G402</f>
        <v>2.7</v>
      </c>
      <c r="H398" s="238">
        <f>H402</f>
        <v>776.30000000000007</v>
      </c>
      <c r="I398" s="236">
        <f>I399</f>
        <v>0</v>
      </c>
      <c r="J398" s="239"/>
      <c r="K398" s="239"/>
      <c r="L398" s="239">
        <f>L402</f>
        <v>773.6</v>
      </c>
      <c r="M398" s="239">
        <f>M402</f>
        <v>2.7</v>
      </c>
      <c r="N398" s="239">
        <f>N402</f>
        <v>776.30000000000007</v>
      </c>
      <c r="O398" s="178"/>
      <c r="P398" s="92"/>
    </row>
    <row r="399" spans="1:16" ht="27.6" hidden="1" customHeight="1" x14ac:dyDescent="0.2">
      <c r="A399" s="42"/>
      <c r="B399" s="168" t="s">
        <v>439</v>
      </c>
      <c r="C399" s="169" t="s">
        <v>440</v>
      </c>
      <c r="D399" s="170" t="s">
        <v>26</v>
      </c>
      <c r="E399" s="171"/>
      <c r="F399" s="232">
        <f>F400</f>
        <v>0</v>
      </c>
      <c r="G399" s="234"/>
      <c r="H399" s="234"/>
      <c r="I399" s="233">
        <f>I400</f>
        <v>0</v>
      </c>
      <c r="J399" s="240"/>
      <c r="K399" s="240"/>
      <c r="L399" s="240"/>
      <c r="M399" s="240"/>
      <c r="N399" s="240">
        <f>N400</f>
        <v>0</v>
      </c>
      <c r="O399" s="178"/>
      <c r="P399" s="92"/>
    </row>
    <row r="400" spans="1:16" ht="24.6" hidden="1" customHeight="1" x14ac:dyDescent="0.2">
      <c r="A400" s="42"/>
      <c r="B400" s="168" t="s">
        <v>441</v>
      </c>
      <c r="C400" s="169" t="s">
        <v>442</v>
      </c>
      <c r="D400" s="170" t="s">
        <v>26</v>
      </c>
      <c r="E400" s="171"/>
      <c r="F400" s="232"/>
      <c r="G400" s="234"/>
      <c r="H400" s="234"/>
      <c r="I400" s="233">
        <f>I406</f>
        <v>0</v>
      </c>
      <c r="J400" s="234"/>
      <c r="K400" s="234"/>
      <c r="L400" s="234"/>
      <c r="M400" s="234"/>
      <c r="N400" s="232"/>
      <c r="O400" s="178"/>
      <c r="P400" s="92"/>
    </row>
    <row r="401" spans="1:16" ht="28.15" hidden="1" customHeight="1" thickBot="1" x14ac:dyDescent="0.25">
      <c r="A401" s="57"/>
      <c r="B401" s="241" t="s">
        <v>41</v>
      </c>
      <c r="C401" s="242" t="s">
        <v>442</v>
      </c>
      <c r="D401" s="170" t="s">
        <v>42</v>
      </c>
      <c r="E401" s="171"/>
      <c r="F401" s="232"/>
      <c r="G401" s="234"/>
      <c r="H401" s="234"/>
      <c r="I401" s="233">
        <v>0</v>
      </c>
      <c r="J401" s="234"/>
      <c r="K401" s="234"/>
      <c r="L401" s="234"/>
      <c r="M401" s="234"/>
      <c r="N401" s="232"/>
      <c r="O401" s="178"/>
      <c r="P401" s="92"/>
    </row>
    <row r="402" spans="1:16" ht="31.5" x14ac:dyDescent="0.2">
      <c r="A402" s="57"/>
      <c r="B402" s="197" t="s">
        <v>439</v>
      </c>
      <c r="C402" s="218" t="s">
        <v>440</v>
      </c>
      <c r="D402" s="218"/>
      <c r="E402" s="218"/>
      <c r="F402" s="233">
        <v>773.6</v>
      </c>
      <c r="G402" s="233">
        <f>SUM(G404)</f>
        <v>2.7</v>
      </c>
      <c r="H402" s="233">
        <f>SUM(F402)+G402</f>
        <v>776.30000000000007</v>
      </c>
      <c r="I402" s="233"/>
      <c r="J402" s="233"/>
      <c r="K402" s="233"/>
      <c r="L402" s="233">
        <f>SUM(F402)</f>
        <v>773.6</v>
      </c>
      <c r="M402" s="233">
        <f t="shared" ref="M402:N404" si="89">SUM(G402)</f>
        <v>2.7</v>
      </c>
      <c r="N402" s="233">
        <f t="shared" si="89"/>
        <v>776.30000000000007</v>
      </c>
      <c r="O402" s="178"/>
      <c r="P402" s="92"/>
    </row>
    <row r="403" spans="1:16" ht="31.5" x14ac:dyDescent="0.2">
      <c r="A403" s="57"/>
      <c r="B403" s="197" t="s">
        <v>441</v>
      </c>
      <c r="C403" s="199" t="s">
        <v>442</v>
      </c>
      <c r="D403" s="218"/>
      <c r="E403" s="218"/>
      <c r="F403" s="233">
        <v>773.6</v>
      </c>
      <c r="G403" s="233">
        <f>SUM(G404)</f>
        <v>2.7</v>
      </c>
      <c r="H403" s="233">
        <f>SUM(F403)+G403</f>
        <v>776.30000000000007</v>
      </c>
      <c r="I403" s="233"/>
      <c r="J403" s="233"/>
      <c r="K403" s="233"/>
      <c r="L403" s="233">
        <f>SUM(F403)</f>
        <v>773.6</v>
      </c>
      <c r="M403" s="233">
        <f t="shared" si="89"/>
        <v>2.7</v>
      </c>
      <c r="N403" s="233">
        <f t="shared" si="89"/>
        <v>776.30000000000007</v>
      </c>
      <c r="O403" s="178"/>
      <c r="P403" s="92"/>
    </row>
    <row r="404" spans="1:16" ht="18.75" x14ac:dyDescent="0.2">
      <c r="A404" s="57"/>
      <c r="B404" s="168" t="s">
        <v>41</v>
      </c>
      <c r="C404" s="199" t="s">
        <v>442</v>
      </c>
      <c r="D404" s="218" t="s">
        <v>42</v>
      </c>
      <c r="E404" s="218"/>
      <c r="F404" s="233">
        <v>773.6</v>
      </c>
      <c r="G404" s="233">
        <f>2+0.7</f>
        <v>2.7</v>
      </c>
      <c r="H404" s="233">
        <f>SUM(F404)+G404</f>
        <v>776.30000000000007</v>
      </c>
      <c r="I404" s="233"/>
      <c r="J404" s="233"/>
      <c r="K404" s="233"/>
      <c r="L404" s="233">
        <f>SUM(F404)</f>
        <v>773.6</v>
      </c>
      <c r="M404" s="233">
        <f t="shared" si="89"/>
        <v>2.7</v>
      </c>
      <c r="N404" s="233">
        <f t="shared" si="89"/>
        <v>776.30000000000007</v>
      </c>
      <c r="O404" s="178"/>
      <c r="P404" s="92"/>
    </row>
    <row r="405" spans="1:16" ht="34.15" customHeight="1" x14ac:dyDescent="0.2">
      <c r="A405" s="57"/>
      <c r="B405" s="450" t="s">
        <v>443</v>
      </c>
      <c r="C405" s="451"/>
      <c r="D405" s="451"/>
      <c r="E405" s="451"/>
      <c r="F405" s="451"/>
      <c r="G405" s="451"/>
      <c r="H405" s="451"/>
      <c r="I405" s="451"/>
      <c r="J405" s="451"/>
      <c r="K405" s="451"/>
      <c r="L405" s="451"/>
      <c r="M405" s="451"/>
      <c r="N405" s="451"/>
      <c r="O405" s="243"/>
      <c r="P405" s="161"/>
    </row>
    <row r="406" spans="1:16" ht="16.5" customHeight="1" thickBot="1" x14ac:dyDescent="0.25">
      <c r="A406" s="70"/>
      <c r="B406" s="452"/>
      <c r="C406" s="453"/>
      <c r="D406" s="453"/>
      <c r="E406" s="453"/>
      <c r="F406" s="453"/>
      <c r="G406" s="453"/>
      <c r="H406" s="453"/>
      <c r="I406" s="453"/>
      <c r="J406" s="453"/>
      <c r="K406" s="453"/>
      <c r="L406" s="453"/>
      <c r="M406" s="453"/>
      <c r="N406" s="453"/>
      <c r="O406" s="243"/>
      <c r="P406" s="161"/>
    </row>
    <row r="407" spans="1:16" x14ac:dyDescent="0.2">
      <c r="B407" s="244"/>
      <c r="C407" s="244"/>
      <c r="D407" s="244"/>
      <c r="E407" s="244"/>
      <c r="F407" s="244"/>
      <c r="G407" s="244"/>
      <c r="H407" s="244"/>
      <c r="I407" s="244"/>
      <c r="J407" s="244"/>
      <c r="K407" s="244"/>
      <c r="L407" s="244"/>
      <c r="M407" s="244"/>
      <c r="N407" s="244"/>
      <c r="O407" s="244"/>
    </row>
    <row r="408" spans="1:16" x14ac:dyDescent="0.2">
      <c r="B408" s="244"/>
      <c r="C408" s="244"/>
      <c r="D408" s="244"/>
      <c r="E408" s="244"/>
      <c r="F408" s="244"/>
      <c r="G408" s="244"/>
      <c r="H408" s="244"/>
      <c r="I408" s="244"/>
      <c r="J408" s="244"/>
      <c r="K408" s="244"/>
      <c r="L408" s="244"/>
      <c r="M408" s="244"/>
      <c r="N408" s="244"/>
      <c r="O408" s="244"/>
    </row>
    <row r="409" spans="1:16" x14ac:dyDescent="0.2">
      <c r="B409" s="244"/>
      <c r="C409" s="244"/>
      <c r="D409" s="244"/>
      <c r="E409" s="244"/>
      <c r="F409" s="244"/>
      <c r="G409" s="244"/>
      <c r="H409" s="244"/>
      <c r="I409" s="244"/>
      <c r="J409" s="244"/>
      <c r="K409" s="244"/>
      <c r="L409" s="244"/>
      <c r="M409" s="244"/>
      <c r="N409" s="244"/>
      <c r="O409" s="244"/>
    </row>
    <row r="410" spans="1:16" x14ac:dyDescent="0.2">
      <c r="B410" s="244"/>
      <c r="C410" s="244"/>
      <c r="D410" s="244"/>
      <c r="E410" s="244"/>
      <c r="F410" s="244"/>
      <c r="G410" s="244"/>
      <c r="H410" s="244"/>
      <c r="I410" s="244"/>
      <c r="J410" s="244"/>
      <c r="K410" s="244"/>
      <c r="L410" s="244"/>
      <c r="M410" s="244"/>
      <c r="N410" s="244"/>
      <c r="O410" s="244"/>
    </row>
    <row r="411" spans="1:16" x14ac:dyDescent="0.2">
      <c r="B411" s="244"/>
      <c r="C411" s="244"/>
      <c r="D411" s="244"/>
      <c r="E411" s="244"/>
      <c r="F411" s="244"/>
      <c r="G411" s="244"/>
      <c r="H411" s="244"/>
      <c r="I411" s="244"/>
      <c r="J411" s="244"/>
      <c r="K411" s="244"/>
      <c r="L411" s="244"/>
      <c r="M411" s="244"/>
      <c r="N411" s="244"/>
      <c r="O411" s="244"/>
    </row>
    <row r="412" spans="1:16" x14ac:dyDescent="0.2">
      <c r="B412" s="244"/>
      <c r="C412" s="244"/>
      <c r="D412" s="244"/>
      <c r="E412" s="244"/>
      <c r="F412" s="244"/>
      <c r="G412" s="244"/>
      <c r="H412" s="244"/>
      <c r="I412" s="244"/>
      <c r="J412" s="244"/>
      <c r="K412" s="244"/>
      <c r="L412" s="244"/>
      <c r="M412" s="244"/>
      <c r="N412" s="244"/>
      <c r="O412" s="244"/>
    </row>
    <row r="413" spans="1:16" x14ac:dyDescent="0.2">
      <c r="B413" s="244"/>
      <c r="C413" s="244"/>
      <c r="D413" s="244"/>
      <c r="E413" s="244"/>
      <c r="F413" s="244"/>
      <c r="G413" s="244"/>
      <c r="H413" s="244"/>
      <c r="I413" s="244"/>
      <c r="J413" s="244"/>
      <c r="K413" s="244"/>
      <c r="L413" s="244"/>
      <c r="M413" s="244"/>
      <c r="N413" s="244"/>
      <c r="O413" s="244"/>
    </row>
    <row r="414" spans="1:16" x14ac:dyDescent="0.2">
      <c r="B414" s="244"/>
      <c r="C414" s="244"/>
      <c r="D414" s="244"/>
      <c r="E414" s="244"/>
      <c r="F414" s="244"/>
      <c r="G414" s="244"/>
      <c r="H414" s="244"/>
      <c r="I414" s="244"/>
      <c r="J414" s="244"/>
      <c r="K414" s="244"/>
      <c r="L414" s="244"/>
      <c r="M414" s="244"/>
      <c r="N414" s="244"/>
      <c r="O414" s="244"/>
    </row>
    <row r="415" spans="1:16" x14ac:dyDescent="0.2">
      <c r="B415" s="244"/>
      <c r="C415" s="244"/>
      <c r="D415" s="244"/>
      <c r="E415" s="244"/>
      <c r="F415" s="244"/>
      <c r="G415" s="244"/>
      <c r="H415" s="244"/>
      <c r="I415" s="244"/>
      <c r="J415" s="244"/>
      <c r="K415" s="244"/>
      <c r="L415" s="244"/>
      <c r="M415" s="244"/>
      <c r="N415" s="244"/>
      <c r="O415" s="244"/>
    </row>
    <row r="416" spans="1:16" x14ac:dyDescent="0.2">
      <c r="B416" s="244"/>
      <c r="C416" s="244"/>
      <c r="D416" s="244"/>
      <c r="E416" s="244"/>
      <c r="F416" s="244"/>
      <c r="G416" s="244"/>
      <c r="H416" s="244"/>
      <c r="I416" s="244"/>
      <c r="J416" s="244"/>
      <c r="K416" s="244"/>
      <c r="L416" s="244"/>
      <c r="M416" s="244"/>
      <c r="N416" s="244"/>
      <c r="O416" s="244"/>
    </row>
    <row r="417" spans="2:15" x14ac:dyDescent="0.2">
      <c r="B417" s="244"/>
      <c r="C417" s="244"/>
      <c r="D417" s="244"/>
      <c r="E417" s="244"/>
      <c r="F417" s="244"/>
      <c r="G417" s="244"/>
      <c r="H417" s="244"/>
      <c r="I417" s="244"/>
      <c r="J417" s="244"/>
      <c r="K417" s="244"/>
      <c r="L417" s="244"/>
      <c r="M417" s="244"/>
      <c r="N417" s="244"/>
      <c r="O417" s="244"/>
    </row>
    <row r="418" spans="2:15" x14ac:dyDescent="0.2">
      <c r="B418" s="244"/>
      <c r="C418" s="244"/>
      <c r="D418" s="244"/>
      <c r="E418" s="244"/>
      <c r="F418" s="244"/>
      <c r="G418" s="244"/>
      <c r="H418" s="244"/>
      <c r="I418" s="244"/>
      <c r="J418" s="244"/>
      <c r="K418" s="244"/>
      <c r="L418" s="244"/>
      <c r="M418" s="244"/>
      <c r="N418" s="244"/>
      <c r="O418" s="244"/>
    </row>
    <row r="419" spans="2:15" x14ac:dyDescent="0.2">
      <c r="B419" s="244"/>
      <c r="C419" s="244"/>
      <c r="D419" s="244"/>
      <c r="E419" s="244"/>
      <c r="F419" s="244"/>
      <c r="G419" s="244"/>
      <c r="H419" s="244"/>
      <c r="I419" s="244"/>
      <c r="J419" s="244"/>
      <c r="K419" s="244"/>
      <c r="L419" s="244"/>
      <c r="M419" s="244"/>
      <c r="N419" s="244"/>
      <c r="O419" s="244"/>
    </row>
    <row r="420" spans="2:15" x14ac:dyDescent="0.2">
      <c r="B420" s="244"/>
      <c r="C420" s="244"/>
      <c r="D420" s="244"/>
      <c r="E420" s="244"/>
      <c r="F420" s="244"/>
      <c r="G420" s="244"/>
      <c r="H420" s="244"/>
      <c r="I420" s="244"/>
      <c r="J420" s="244"/>
      <c r="K420" s="244"/>
      <c r="L420" s="244"/>
      <c r="M420" s="244"/>
      <c r="N420" s="244"/>
      <c r="O420" s="244"/>
    </row>
    <row r="421" spans="2:15" x14ac:dyDescent="0.2">
      <c r="B421" s="244"/>
      <c r="C421" s="244"/>
      <c r="D421" s="244"/>
      <c r="E421" s="244"/>
      <c r="F421" s="244"/>
      <c r="G421" s="244"/>
      <c r="H421" s="244"/>
      <c r="I421" s="244"/>
      <c r="J421" s="244"/>
      <c r="K421" s="244"/>
      <c r="L421" s="244"/>
      <c r="M421" s="244"/>
      <c r="N421" s="244"/>
      <c r="O421" s="244"/>
    </row>
    <row r="422" spans="2:15" x14ac:dyDescent="0.2">
      <c r="B422" s="244"/>
      <c r="C422" s="244"/>
      <c r="D422" s="244"/>
      <c r="E422" s="244"/>
      <c r="F422" s="244"/>
      <c r="G422" s="244"/>
      <c r="H422" s="244"/>
      <c r="I422" s="244"/>
      <c r="J422" s="244"/>
      <c r="K422" s="244"/>
      <c r="L422" s="244"/>
      <c r="M422" s="244"/>
      <c r="N422" s="244"/>
      <c r="O422" s="244"/>
    </row>
    <row r="423" spans="2:15" x14ac:dyDescent="0.2">
      <c r="B423" s="244"/>
      <c r="C423" s="244"/>
      <c r="D423" s="244"/>
      <c r="E423" s="244"/>
      <c r="F423" s="244"/>
      <c r="G423" s="244"/>
      <c r="H423" s="244"/>
      <c r="I423" s="244"/>
      <c r="J423" s="244"/>
      <c r="K423" s="244"/>
      <c r="L423" s="244"/>
      <c r="M423" s="244"/>
      <c r="N423" s="244"/>
      <c r="O423" s="244"/>
    </row>
    <row r="424" spans="2:15" x14ac:dyDescent="0.2">
      <c r="B424" s="244"/>
      <c r="C424" s="244"/>
      <c r="D424" s="244"/>
      <c r="E424" s="244"/>
      <c r="F424" s="244"/>
      <c r="G424" s="244"/>
      <c r="H424" s="244"/>
      <c r="I424" s="244"/>
      <c r="J424" s="244"/>
      <c r="K424" s="244"/>
      <c r="L424" s="244"/>
      <c r="M424" s="244"/>
      <c r="N424" s="244"/>
      <c r="O424" s="244"/>
    </row>
    <row r="425" spans="2:15" x14ac:dyDescent="0.2">
      <c r="B425" s="244"/>
      <c r="C425" s="244"/>
      <c r="D425" s="244"/>
      <c r="E425" s="244"/>
      <c r="F425" s="244"/>
      <c r="G425" s="244"/>
      <c r="H425" s="244"/>
      <c r="I425" s="244"/>
      <c r="J425" s="244"/>
      <c r="K425" s="244"/>
      <c r="L425" s="244"/>
      <c r="M425" s="244"/>
      <c r="N425" s="244"/>
      <c r="O425" s="244"/>
    </row>
    <row r="426" spans="2:15" x14ac:dyDescent="0.2">
      <c r="B426" s="244"/>
      <c r="C426" s="244"/>
      <c r="D426" s="244"/>
      <c r="E426" s="244"/>
      <c r="F426" s="244"/>
      <c r="G426" s="244"/>
      <c r="H426" s="244"/>
      <c r="I426" s="244"/>
      <c r="J426" s="244"/>
      <c r="K426" s="244"/>
      <c r="L426" s="244"/>
      <c r="M426" s="244"/>
      <c r="N426" s="244"/>
      <c r="O426" s="244"/>
    </row>
    <row r="427" spans="2:15" x14ac:dyDescent="0.2">
      <c r="B427" s="244"/>
      <c r="C427" s="244"/>
      <c r="D427" s="244"/>
      <c r="E427" s="244"/>
      <c r="F427" s="244"/>
      <c r="G427" s="244"/>
      <c r="H427" s="244"/>
      <c r="I427" s="244"/>
      <c r="J427" s="244"/>
      <c r="K427" s="244"/>
      <c r="L427" s="244"/>
      <c r="M427" s="244"/>
      <c r="N427" s="244"/>
      <c r="O427" s="244"/>
    </row>
    <row r="428" spans="2:15" x14ac:dyDescent="0.2">
      <c r="B428" s="244"/>
      <c r="C428" s="244"/>
      <c r="D428" s="244"/>
      <c r="E428" s="244"/>
      <c r="F428" s="244"/>
      <c r="G428" s="244"/>
      <c r="H428" s="244"/>
      <c r="I428" s="244"/>
      <c r="J428" s="244"/>
      <c r="K428" s="244"/>
      <c r="L428" s="244"/>
      <c r="M428" s="244"/>
      <c r="N428" s="244"/>
      <c r="O428" s="244"/>
    </row>
    <row r="429" spans="2:15" x14ac:dyDescent="0.2">
      <c r="B429" s="244"/>
      <c r="C429" s="244"/>
      <c r="D429" s="244"/>
      <c r="E429" s="244"/>
      <c r="F429" s="244"/>
      <c r="G429" s="244"/>
      <c r="H429" s="244"/>
      <c r="I429" s="244"/>
      <c r="J429" s="244"/>
      <c r="K429" s="244"/>
      <c r="L429" s="244"/>
      <c r="M429" s="244"/>
      <c r="N429" s="244"/>
      <c r="O429" s="244"/>
    </row>
    <row r="430" spans="2:15" x14ac:dyDescent="0.2">
      <c r="B430" s="244"/>
      <c r="C430" s="244"/>
      <c r="D430" s="244"/>
      <c r="E430" s="244"/>
      <c r="F430" s="244"/>
      <c r="G430" s="244"/>
      <c r="H430" s="244"/>
      <c r="I430" s="244"/>
      <c r="J430" s="244"/>
      <c r="K430" s="244"/>
      <c r="L430" s="244"/>
      <c r="M430" s="244"/>
      <c r="N430" s="244"/>
      <c r="O430" s="244"/>
    </row>
    <row r="431" spans="2:15" x14ac:dyDescent="0.2">
      <c r="B431" s="244"/>
      <c r="C431" s="244"/>
      <c r="D431" s="244"/>
      <c r="E431" s="244"/>
      <c r="F431" s="244"/>
      <c r="G431" s="244"/>
      <c r="H431" s="244"/>
      <c r="I431" s="244"/>
      <c r="J431" s="244"/>
      <c r="K431" s="244"/>
      <c r="L431" s="244"/>
      <c r="M431" s="244"/>
      <c r="N431" s="244"/>
      <c r="O431" s="244"/>
    </row>
    <row r="432" spans="2:15" x14ac:dyDescent="0.2">
      <c r="B432" s="244"/>
      <c r="C432" s="244"/>
      <c r="D432" s="244"/>
      <c r="E432" s="244"/>
      <c r="F432" s="244"/>
      <c r="G432" s="244"/>
      <c r="H432" s="244"/>
      <c r="I432" s="244"/>
      <c r="J432" s="244"/>
      <c r="K432" s="244"/>
      <c r="L432" s="244"/>
      <c r="M432" s="244"/>
      <c r="N432" s="244"/>
      <c r="O432" s="244"/>
    </row>
    <row r="433" spans="2:15" x14ac:dyDescent="0.2">
      <c r="B433" s="244"/>
      <c r="C433" s="244"/>
      <c r="D433" s="244"/>
      <c r="E433" s="244"/>
      <c r="F433" s="244"/>
      <c r="G433" s="244"/>
      <c r="H433" s="244"/>
      <c r="I433" s="244"/>
      <c r="J433" s="244"/>
      <c r="K433" s="244"/>
      <c r="L433" s="244"/>
      <c r="M433" s="244"/>
      <c r="N433" s="244"/>
      <c r="O433" s="244"/>
    </row>
    <row r="434" spans="2:15" x14ac:dyDescent="0.2">
      <c r="B434" s="244"/>
      <c r="C434" s="244"/>
      <c r="D434" s="244"/>
      <c r="E434" s="244"/>
      <c r="F434" s="244"/>
      <c r="G434" s="244"/>
      <c r="H434" s="244"/>
      <c r="I434" s="244"/>
      <c r="J434" s="244"/>
      <c r="K434" s="244"/>
      <c r="L434" s="244"/>
      <c r="M434" s="244"/>
      <c r="N434" s="244"/>
      <c r="O434" s="244"/>
    </row>
    <row r="435" spans="2:15" x14ac:dyDescent="0.2">
      <c r="B435" s="244"/>
      <c r="C435" s="244"/>
      <c r="D435" s="244"/>
      <c r="E435" s="244"/>
      <c r="F435" s="244"/>
      <c r="G435" s="244"/>
      <c r="H435" s="244"/>
      <c r="I435" s="244"/>
      <c r="J435" s="244"/>
      <c r="K435" s="244"/>
      <c r="L435" s="244"/>
      <c r="M435" s="244"/>
      <c r="N435" s="244"/>
      <c r="O435" s="244"/>
    </row>
    <row r="436" spans="2:15" x14ac:dyDescent="0.2">
      <c r="B436" s="244"/>
      <c r="C436" s="244"/>
      <c r="D436" s="244"/>
      <c r="E436" s="244"/>
      <c r="F436" s="244"/>
      <c r="G436" s="244"/>
      <c r="H436" s="244"/>
      <c r="I436" s="244"/>
      <c r="J436" s="244"/>
      <c r="K436" s="244"/>
      <c r="L436" s="244"/>
      <c r="M436" s="244"/>
      <c r="N436" s="244"/>
      <c r="O436" s="244"/>
    </row>
    <row r="437" spans="2:15" x14ac:dyDescent="0.2">
      <c r="B437" s="244"/>
      <c r="C437" s="244"/>
      <c r="D437" s="244"/>
      <c r="E437" s="244"/>
      <c r="F437" s="244"/>
      <c r="G437" s="244"/>
      <c r="H437" s="244"/>
      <c r="I437" s="244"/>
      <c r="J437" s="244"/>
      <c r="K437" s="244"/>
      <c r="L437" s="244"/>
      <c r="M437" s="244"/>
      <c r="N437" s="244"/>
      <c r="O437" s="244"/>
    </row>
    <row r="438" spans="2:15" x14ac:dyDescent="0.2">
      <c r="B438" s="244"/>
      <c r="C438" s="244"/>
      <c r="D438" s="244"/>
      <c r="E438" s="244"/>
      <c r="F438" s="244"/>
      <c r="G438" s="244"/>
      <c r="H438" s="244"/>
      <c r="I438" s="244"/>
      <c r="J438" s="244"/>
      <c r="K438" s="244"/>
      <c r="L438" s="244"/>
      <c r="M438" s="244"/>
      <c r="N438" s="244"/>
      <c r="O438" s="244"/>
    </row>
    <row r="439" spans="2:15" x14ac:dyDescent="0.2">
      <c r="B439" s="244"/>
      <c r="C439" s="244"/>
      <c r="D439" s="244"/>
      <c r="E439" s="244"/>
      <c r="F439" s="244"/>
      <c r="G439" s="244"/>
      <c r="H439" s="244"/>
      <c r="I439" s="244"/>
      <c r="J439" s="244"/>
      <c r="K439" s="244"/>
      <c r="L439" s="244"/>
      <c r="M439" s="244"/>
      <c r="N439" s="244"/>
      <c r="O439" s="244"/>
    </row>
    <row r="440" spans="2:15" x14ac:dyDescent="0.2">
      <c r="B440" s="244"/>
      <c r="C440" s="244"/>
      <c r="D440" s="244"/>
      <c r="E440" s="244"/>
      <c r="F440" s="244"/>
      <c r="G440" s="244"/>
      <c r="H440" s="244"/>
      <c r="I440" s="244"/>
      <c r="J440" s="244"/>
      <c r="K440" s="244"/>
      <c r="L440" s="244"/>
      <c r="M440" s="244"/>
      <c r="N440" s="244"/>
      <c r="O440" s="244"/>
    </row>
    <row r="441" spans="2:15" x14ac:dyDescent="0.2">
      <c r="B441" s="244"/>
      <c r="C441" s="244"/>
      <c r="D441" s="244"/>
      <c r="E441" s="244"/>
      <c r="F441" s="244"/>
      <c r="G441" s="244"/>
      <c r="H441" s="244"/>
      <c r="I441" s="244"/>
      <c r="J441" s="244"/>
      <c r="K441" s="244"/>
      <c r="L441" s="244"/>
      <c r="M441" s="244"/>
      <c r="N441" s="244"/>
      <c r="O441" s="244"/>
    </row>
    <row r="442" spans="2:15" x14ac:dyDescent="0.2">
      <c r="B442" s="244"/>
      <c r="C442" s="244"/>
      <c r="D442" s="244"/>
      <c r="E442" s="244"/>
      <c r="F442" s="244"/>
      <c r="G442" s="244"/>
      <c r="H442" s="244"/>
      <c r="I442" s="244"/>
      <c r="J442" s="244"/>
      <c r="K442" s="244"/>
      <c r="L442" s="244"/>
      <c r="M442" s="244"/>
      <c r="N442" s="244"/>
      <c r="O442" s="244"/>
    </row>
    <row r="443" spans="2:15" x14ac:dyDescent="0.2">
      <c r="B443" s="244"/>
      <c r="C443" s="244"/>
      <c r="D443" s="244"/>
      <c r="E443" s="244"/>
      <c r="F443" s="244"/>
      <c r="G443" s="244"/>
      <c r="H443" s="244"/>
      <c r="I443" s="244"/>
      <c r="J443" s="244"/>
      <c r="K443" s="244"/>
      <c r="L443" s="244"/>
      <c r="M443" s="244"/>
      <c r="N443" s="244"/>
      <c r="O443" s="244"/>
    </row>
    <row r="444" spans="2:15" x14ac:dyDescent="0.2">
      <c r="B444" s="244"/>
      <c r="C444" s="244"/>
      <c r="D444" s="244"/>
      <c r="E444" s="244"/>
      <c r="F444" s="244"/>
      <c r="G444" s="244"/>
      <c r="H444" s="244"/>
      <c r="I444" s="244"/>
      <c r="J444" s="244"/>
      <c r="K444" s="244"/>
      <c r="L444" s="244"/>
      <c r="M444" s="244"/>
      <c r="N444" s="244"/>
      <c r="O444" s="244"/>
    </row>
    <row r="445" spans="2:15" x14ac:dyDescent="0.2">
      <c r="B445" s="244"/>
      <c r="C445" s="244"/>
      <c r="D445" s="244"/>
      <c r="E445" s="244"/>
      <c r="F445" s="244"/>
      <c r="G445" s="244"/>
      <c r="H445" s="244"/>
      <c r="I445" s="244"/>
      <c r="J445" s="244"/>
      <c r="K445" s="244"/>
      <c r="L445" s="244"/>
      <c r="M445" s="244"/>
      <c r="N445" s="244"/>
      <c r="O445" s="244"/>
    </row>
    <row r="446" spans="2:15" x14ac:dyDescent="0.2">
      <c r="B446" s="244"/>
      <c r="C446" s="244"/>
      <c r="D446" s="244"/>
      <c r="E446" s="244"/>
      <c r="F446" s="244"/>
      <c r="G446" s="244"/>
      <c r="H446" s="244"/>
      <c r="I446" s="244"/>
      <c r="J446" s="244"/>
      <c r="K446" s="244"/>
      <c r="L446" s="244"/>
      <c r="M446" s="244"/>
      <c r="N446" s="244"/>
      <c r="O446" s="244"/>
    </row>
    <row r="447" spans="2:15" x14ac:dyDescent="0.2">
      <c r="B447" s="244"/>
      <c r="C447" s="244"/>
      <c r="D447" s="244"/>
      <c r="E447" s="244"/>
      <c r="F447" s="244"/>
      <c r="G447" s="244"/>
      <c r="H447" s="244"/>
      <c r="I447" s="244"/>
      <c r="J447" s="244"/>
      <c r="K447" s="244"/>
      <c r="L447" s="244"/>
      <c r="M447" s="244"/>
      <c r="N447" s="244"/>
      <c r="O447" s="244"/>
    </row>
    <row r="448" spans="2:15" x14ac:dyDescent="0.2">
      <c r="B448" s="244"/>
      <c r="C448" s="244"/>
      <c r="D448" s="244"/>
      <c r="E448" s="244"/>
      <c r="F448" s="244"/>
      <c r="G448" s="244"/>
      <c r="H448" s="244"/>
      <c r="I448" s="244"/>
      <c r="J448" s="244"/>
      <c r="K448" s="244"/>
      <c r="L448" s="244"/>
      <c r="M448" s="244"/>
      <c r="N448" s="244"/>
      <c r="O448" s="244"/>
    </row>
    <row r="449" spans="2:15" x14ac:dyDescent="0.2">
      <c r="B449" s="244"/>
      <c r="C449" s="244"/>
      <c r="D449" s="244"/>
      <c r="E449" s="244"/>
      <c r="F449" s="244"/>
      <c r="G449" s="244"/>
      <c r="H449" s="244"/>
      <c r="I449" s="244"/>
      <c r="J449" s="244"/>
      <c r="K449" s="244"/>
      <c r="L449" s="244"/>
      <c r="M449" s="244"/>
      <c r="N449" s="244"/>
      <c r="O449" s="244"/>
    </row>
    <row r="450" spans="2:15" x14ac:dyDescent="0.2">
      <c r="B450" s="244"/>
      <c r="C450" s="244"/>
      <c r="D450" s="244"/>
      <c r="E450" s="244"/>
      <c r="F450" s="244"/>
      <c r="G450" s="244"/>
      <c r="H450" s="244"/>
      <c r="I450" s="244"/>
      <c r="J450" s="244"/>
      <c r="K450" s="244"/>
      <c r="L450" s="244"/>
      <c r="M450" s="244"/>
      <c r="N450" s="244"/>
      <c r="O450" s="244"/>
    </row>
    <row r="451" spans="2:15" x14ac:dyDescent="0.2">
      <c r="B451" s="244"/>
      <c r="C451" s="244"/>
      <c r="D451" s="244"/>
      <c r="E451" s="244"/>
      <c r="F451" s="244"/>
      <c r="G451" s="244"/>
      <c r="H451" s="244"/>
      <c r="I451" s="244"/>
      <c r="J451" s="244"/>
      <c r="K451" s="244"/>
      <c r="L451" s="244"/>
      <c r="M451" s="244"/>
      <c r="N451" s="244"/>
      <c r="O451" s="244"/>
    </row>
    <row r="452" spans="2:15" x14ac:dyDescent="0.2">
      <c r="B452" s="244"/>
      <c r="C452" s="244"/>
      <c r="D452" s="244"/>
      <c r="E452" s="244"/>
      <c r="F452" s="244"/>
      <c r="G452" s="244"/>
      <c r="H452" s="244"/>
      <c r="I452" s="244"/>
      <c r="J452" s="244"/>
      <c r="K452" s="244"/>
      <c r="L452" s="244"/>
      <c r="M452" s="244"/>
      <c r="N452" s="244"/>
      <c r="O452" s="244"/>
    </row>
    <row r="453" spans="2:15" x14ac:dyDescent="0.2">
      <c r="B453" s="244"/>
      <c r="C453" s="244"/>
      <c r="D453" s="244"/>
      <c r="E453" s="244"/>
      <c r="F453" s="244"/>
      <c r="G453" s="244"/>
      <c r="H453" s="244"/>
      <c r="I453" s="244"/>
      <c r="J453" s="244"/>
      <c r="K453" s="244"/>
      <c r="L453" s="244"/>
      <c r="M453" s="244"/>
      <c r="N453" s="244"/>
      <c r="O453" s="244"/>
    </row>
    <row r="454" spans="2:15" x14ac:dyDescent="0.2">
      <c r="B454" s="244"/>
      <c r="C454" s="244"/>
      <c r="D454" s="244"/>
      <c r="E454" s="244"/>
      <c r="F454" s="244"/>
      <c r="G454" s="244"/>
      <c r="H454" s="244"/>
      <c r="I454" s="244"/>
      <c r="J454" s="244"/>
      <c r="K454" s="244"/>
      <c r="L454" s="244"/>
      <c r="M454" s="244"/>
      <c r="N454" s="244"/>
      <c r="O454" s="244"/>
    </row>
    <row r="455" spans="2:15" x14ac:dyDescent="0.2">
      <c r="B455" s="244"/>
      <c r="C455" s="244"/>
      <c r="D455" s="244"/>
      <c r="E455" s="244"/>
      <c r="F455" s="244"/>
      <c r="G455" s="244"/>
      <c r="H455" s="244"/>
      <c r="I455" s="244"/>
      <c r="J455" s="244"/>
      <c r="K455" s="244"/>
      <c r="L455" s="244"/>
      <c r="M455" s="244"/>
      <c r="N455" s="244"/>
      <c r="O455" s="244"/>
    </row>
    <row r="456" spans="2:15" x14ac:dyDescent="0.2">
      <c r="B456" s="244"/>
      <c r="C456" s="244"/>
      <c r="D456" s="244"/>
      <c r="E456" s="244"/>
      <c r="F456" s="244"/>
      <c r="G456" s="244"/>
      <c r="H456" s="244"/>
      <c r="I456" s="244"/>
      <c r="J456" s="244"/>
      <c r="K456" s="244"/>
      <c r="L456" s="244"/>
      <c r="M456" s="244"/>
      <c r="N456" s="244"/>
      <c r="O456" s="244"/>
    </row>
    <row r="457" spans="2:15" x14ac:dyDescent="0.2">
      <c r="B457" s="244"/>
      <c r="C457" s="244"/>
      <c r="D457" s="244"/>
      <c r="E457" s="244"/>
      <c r="F457" s="244"/>
      <c r="G457" s="244"/>
      <c r="H457" s="244"/>
      <c r="I457" s="244"/>
      <c r="J457" s="244"/>
      <c r="K457" s="244"/>
      <c r="L457" s="244"/>
      <c r="M457" s="244"/>
      <c r="N457" s="244"/>
      <c r="O457" s="244"/>
    </row>
    <row r="458" spans="2:15" x14ac:dyDescent="0.2">
      <c r="B458" s="244"/>
      <c r="C458" s="244"/>
      <c r="D458" s="244"/>
      <c r="E458" s="244"/>
      <c r="F458" s="244"/>
      <c r="G458" s="244"/>
      <c r="H458" s="244"/>
      <c r="I458" s="244"/>
      <c r="J458" s="244"/>
      <c r="K458" s="244"/>
      <c r="L458" s="244"/>
      <c r="M458" s="244"/>
      <c r="N458" s="244"/>
      <c r="O458" s="244"/>
    </row>
    <row r="459" spans="2:15" x14ac:dyDescent="0.2">
      <c r="B459" s="244"/>
      <c r="C459" s="244"/>
      <c r="D459" s="244"/>
      <c r="E459" s="244"/>
      <c r="F459" s="244"/>
      <c r="G459" s="244"/>
      <c r="H459" s="244"/>
      <c r="I459" s="244"/>
      <c r="J459" s="244"/>
      <c r="K459" s="244"/>
      <c r="L459" s="244"/>
      <c r="M459" s="244"/>
      <c r="N459" s="244"/>
      <c r="O459" s="244"/>
    </row>
    <row r="460" spans="2:15" x14ac:dyDescent="0.2">
      <c r="B460" s="244"/>
      <c r="C460" s="244"/>
      <c r="D460" s="244"/>
      <c r="E460" s="244"/>
      <c r="F460" s="244"/>
      <c r="G460" s="244"/>
      <c r="H460" s="244"/>
      <c r="I460" s="244"/>
      <c r="J460" s="244"/>
      <c r="K460" s="244"/>
      <c r="L460" s="244"/>
      <c r="M460" s="244"/>
      <c r="N460" s="244"/>
      <c r="O460" s="244"/>
    </row>
    <row r="461" spans="2:15" x14ac:dyDescent="0.2">
      <c r="B461" s="244"/>
      <c r="C461" s="244"/>
      <c r="D461" s="244"/>
      <c r="E461" s="244"/>
      <c r="F461" s="244"/>
      <c r="G461" s="244"/>
      <c r="H461" s="244"/>
      <c r="I461" s="244"/>
      <c r="J461" s="244"/>
      <c r="K461" s="244"/>
      <c r="L461" s="244"/>
      <c r="M461" s="244"/>
      <c r="N461" s="244"/>
      <c r="O461" s="244"/>
    </row>
    <row r="462" spans="2:15" x14ac:dyDescent="0.2">
      <c r="B462" s="244"/>
      <c r="C462" s="244"/>
      <c r="D462" s="244"/>
      <c r="E462" s="244"/>
      <c r="F462" s="244"/>
      <c r="G462" s="244"/>
      <c r="H462" s="244"/>
      <c r="I462" s="244"/>
      <c r="J462" s="244"/>
      <c r="K462" s="244"/>
      <c r="L462" s="244"/>
      <c r="M462" s="244"/>
      <c r="N462" s="244"/>
      <c r="O462" s="244"/>
    </row>
    <row r="463" spans="2:15" x14ac:dyDescent="0.2">
      <c r="B463" s="244"/>
      <c r="C463" s="244"/>
      <c r="D463" s="244"/>
      <c r="E463" s="244"/>
      <c r="F463" s="244"/>
      <c r="G463" s="244"/>
      <c r="H463" s="244"/>
      <c r="I463" s="244"/>
      <c r="J463" s="244"/>
      <c r="K463" s="244"/>
      <c r="L463" s="244"/>
      <c r="M463" s="244"/>
      <c r="N463" s="244"/>
      <c r="O463" s="244"/>
    </row>
    <row r="464" spans="2:15" x14ac:dyDescent="0.2">
      <c r="B464" s="244"/>
      <c r="C464" s="244"/>
      <c r="D464" s="244"/>
      <c r="E464" s="244"/>
      <c r="F464" s="244"/>
      <c r="G464" s="244"/>
      <c r="H464" s="244"/>
      <c r="I464" s="244"/>
      <c r="J464" s="244"/>
      <c r="K464" s="244"/>
      <c r="L464" s="244"/>
      <c r="M464" s="244"/>
      <c r="N464" s="244"/>
      <c r="O464" s="244"/>
    </row>
    <row r="465" spans="2:15" x14ac:dyDescent="0.2">
      <c r="B465" s="244"/>
      <c r="C465" s="244"/>
      <c r="D465" s="244"/>
      <c r="E465" s="244"/>
      <c r="F465" s="244"/>
      <c r="G465" s="244"/>
      <c r="H465" s="244"/>
      <c r="I465" s="244"/>
      <c r="J465" s="244"/>
      <c r="K465" s="244"/>
      <c r="L465" s="244"/>
      <c r="M465" s="244"/>
      <c r="N465" s="244"/>
      <c r="O465" s="244"/>
    </row>
    <row r="466" spans="2:15" x14ac:dyDescent="0.2">
      <c r="B466" s="244"/>
      <c r="C466" s="244"/>
      <c r="D466" s="244"/>
      <c r="E466" s="244"/>
      <c r="F466" s="244"/>
      <c r="G466" s="244"/>
      <c r="H466" s="244"/>
      <c r="I466" s="244"/>
      <c r="J466" s="244"/>
      <c r="K466" s="244"/>
      <c r="L466" s="244"/>
      <c r="M466" s="244"/>
      <c r="N466" s="244"/>
      <c r="O466" s="244"/>
    </row>
    <row r="467" spans="2:15" x14ac:dyDescent="0.2">
      <c r="B467" s="244"/>
      <c r="C467" s="244"/>
      <c r="D467" s="244"/>
      <c r="E467" s="244"/>
      <c r="F467" s="244"/>
      <c r="G467" s="244"/>
      <c r="H467" s="244"/>
      <c r="I467" s="244"/>
      <c r="J467" s="244"/>
      <c r="K467" s="244"/>
      <c r="L467" s="244"/>
      <c r="M467" s="244"/>
      <c r="N467" s="244"/>
      <c r="O467" s="244"/>
    </row>
    <row r="468" spans="2:15" x14ac:dyDescent="0.2">
      <c r="B468" s="244"/>
      <c r="C468" s="244"/>
      <c r="D468" s="244"/>
      <c r="E468" s="244"/>
      <c r="F468" s="244"/>
      <c r="G468" s="244"/>
      <c r="H468" s="244"/>
      <c r="I468" s="244"/>
      <c r="J468" s="244"/>
      <c r="K468" s="244"/>
      <c r="L468" s="244"/>
      <c r="M468" s="244"/>
      <c r="N468" s="244"/>
      <c r="O468" s="244"/>
    </row>
    <row r="469" spans="2:15" x14ac:dyDescent="0.2">
      <c r="B469" s="244"/>
      <c r="C469" s="244"/>
      <c r="D469" s="244"/>
      <c r="E469" s="244"/>
      <c r="F469" s="244"/>
      <c r="G469" s="244"/>
      <c r="H469" s="244"/>
      <c r="I469" s="244"/>
      <c r="J469" s="244"/>
      <c r="K469" s="244"/>
      <c r="L469" s="244"/>
      <c r="M469" s="244"/>
      <c r="N469" s="244"/>
      <c r="O469" s="244"/>
    </row>
    <row r="470" spans="2:15" x14ac:dyDescent="0.2">
      <c r="B470" s="244"/>
      <c r="C470" s="244"/>
      <c r="D470" s="244"/>
      <c r="E470" s="244"/>
      <c r="F470" s="244"/>
      <c r="G470" s="244"/>
      <c r="H470" s="244"/>
      <c r="I470" s="244"/>
      <c r="J470" s="244"/>
      <c r="K470" s="244"/>
      <c r="L470" s="244"/>
      <c r="M470" s="244"/>
      <c r="N470" s="244"/>
      <c r="O470" s="244"/>
    </row>
    <row r="471" spans="2:15" x14ac:dyDescent="0.2">
      <c r="B471" s="244"/>
      <c r="C471" s="244"/>
      <c r="D471" s="244"/>
      <c r="E471" s="244"/>
      <c r="F471" s="244"/>
      <c r="G471" s="244"/>
      <c r="H471" s="244"/>
      <c r="I471" s="244"/>
      <c r="J471" s="244"/>
      <c r="K471" s="244"/>
      <c r="L471" s="244"/>
      <c r="M471" s="244"/>
      <c r="N471" s="244"/>
      <c r="O471" s="244"/>
    </row>
    <row r="472" spans="2:15" x14ac:dyDescent="0.2">
      <c r="B472" s="244"/>
      <c r="C472" s="244"/>
      <c r="D472" s="244"/>
      <c r="E472" s="244"/>
      <c r="F472" s="244"/>
      <c r="G472" s="244"/>
      <c r="H472" s="244"/>
      <c r="I472" s="244"/>
      <c r="J472" s="244"/>
      <c r="K472" s="244"/>
      <c r="L472" s="244"/>
      <c r="M472" s="244"/>
      <c r="N472" s="244"/>
      <c r="O472" s="244"/>
    </row>
    <row r="473" spans="2:15" x14ac:dyDescent="0.2">
      <c r="B473" s="244"/>
      <c r="C473" s="244"/>
      <c r="D473" s="244"/>
      <c r="E473" s="244"/>
      <c r="F473" s="244"/>
      <c r="G473" s="244"/>
      <c r="H473" s="244"/>
      <c r="I473" s="244"/>
      <c r="J473" s="244"/>
      <c r="K473" s="244"/>
      <c r="L473" s="244"/>
      <c r="M473" s="244"/>
      <c r="N473" s="244"/>
      <c r="O473" s="244"/>
    </row>
    <row r="474" spans="2:15" x14ac:dyDescent="0.2">
      <c r="B474" s="244"/>
      <c r="C474" s="244"/>
      <c r="D474" s="244"/>
      <c r="E474" s="244"/>
      <c r="F474" s="244"/>
      <c r="G474" s="244"/>
      <c r="H474" s="244"/>
      <c r="I474" s="244"/>
      <c r="J474" s="244"/>
      <c r="K474" s="244"/>
      <c r="L474" s="244"/>
      <c r="M474" s="244"/>
      <c r="N474" s="244"/>
      <c r="O474" s="244"/>
    </row>
    <row r="475" spans="2:15" x14ac:dyDescent="0.2">
      <c r="B475" s="244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44"/>
      <c r="N475" s="244"/>
      <c r="O475" s="244"/>
    </row>
    <row r="476" spans="2:15" x14ac:dyDescent="0.2">
      <c r="B476" s="244"/>
      <c r="C476" s="244"/>
      <c r="D476" s="244"/>
      <c r="E476" s="244"/>
      <c r="F476" s="244"/>
      <c r="G476" s="244"/>
      <c r="H476" s="244"/>
      <c r="I476" s="244"/>
      <c r="J476" s="244"/>
      <c r="K476" s="244"/>
      <c r="L476" s="244"/>
      <c r="M476" s="244"/>
      <c r="N476" s="244"/>
      <c r="O476" s="244"/>
    </row>
    <row r="477" spans="2:15" x14ac:dyDescent="0.2">
      <c r="B477" s="244"/>
      <c r="C477" s="244"/>
      <c r="D477" s="244"/>
      <c r="E477" s="244"/>
      <c r="F477" s="244"/>
      <c r="G477" s="244"/>
      <c r="H477" s="244"/>
      <c r="I477" s="244"/>
      <c r="J477" s="244"/>
      <c r="K477" s="244"/>
      <c r="L477" s="244"/>
      <c r="M477" s="244"/>
      <c r="N477" s="244"/>
      <c r="O477" s="244"/>
    </row>
    <row r="478" spans="2:15" x14ac:dyDescent="0.2">
      <c r="B478" s="244"/>
      <c r="C478" s="244"/>
      <c r="D478" s="244"/>
      <c r="E478" s="244"/>
      <c r="F478" s="244"/>
      <c r="G478" s="244"/>
      <c r="H478" s="244"/>
      <c r="I478" s="244"/>
      <c r="J478" s="244"/>
      <c r="K478" s="244"/>
      <c r="L478" s="244"/>
      <c r="M478" s="244"/>
      <c r="N478" s="244"/>
      <c r="O478" s="244"/>
    </row>
    <row r="479" spans="2:15" x14ac:dyDescent="0.2">
      <c r="B479" s="244"/>
      <c r="C479" s="244"/>
      <c r="D479" s="244"/>
      <c r="E479" s="244"/>
      <c r="F479" s="244"/>
      <c r="G479" s="244"/>
      <c r="H479" s="244"/>
      <c r="I479" s="244"/>
      <c r="J479" s="244"/>
      <c r="K479" s="244"/>
      <c r="L479" s="244"/>
      <c r="M479" s="244"/>
      <c r="N479" s="244"/>
      <c r="O479" s="244"/>
    </row>
    <row r="480" spans="2:15" x14ac:dyDescent="0.2">
      <c r="B480" s="244"/>
      <c r="C480" s="244"/>
      <c r="D480" s="244"/>
      <c r="E480" s="244"/>
      <c r="F480" s="244"/>
      <c r="G480" s="244"/>
      <c r="H480" s="244"/>
      <c r="I480" s="244"/>
      <c r="J480" s="244"/>
      <c r="K480" s="244"/>
      <c r="L480" s="244"/>
      <c r="M480" s="244"/>
      <c r="N480" s="244"/>
      <c r="O480" s="244"/>
    </row>
    <row r="481" spans="2:15" x14ac:dyDescent="0.2">
      <c r="B481" s="244"/>
      <c r="C481" s="244"/>
      <c r="D481" s="244"/>
      <c r="E481" s="244"/>
      <c r="F481" s="244"/>
      <c r="G481" s="244"/>
      <c r="H481" s="244"/>
      <c r="I481" s="244"/>
      <c r="J481" s="244"/>
      <c r="K481" s="244"/>
      <c r="L481" s="244"/>
      <c r="M481" s="244"/>
      <c r="N481" s="244"/>
      <c r="O481" s="244"/>
    </row>
    <row r="482" spans="2:15" x14ac:dyDescent="0.2">
      <c r="B482" s="244"/>
      <c r="C482" s="244"/>
      <c r="D482" s="244"/>
      <c r="E482" s="244"/>
      <c r="F482" s="244"/>
      <c r="G482" s="244"/>
      <c r="H482" s="244"/>
      <c r="I482" s="244"/>
      <c r="J482" s="244"/>
      <c r="K482" s="244"/>
      <c r="L482" s="244"/>
      <c r="M482" s="244"/>
      <c r="N482" s="244"/>
      <c r="O482" s="244"/>
    </row>
    <row r="483" spans="2:15" x14ac:dyDescent="0.2">
      <c r="B483" s="244"/>
      <c r="C483" s="244"/>
      <c r="D483" s="244"/>
      <c r="E483" s="244"/>
      <c r="F483" s="244"/>
      <c r="G483" s="244"/>
      <c r="H483" s="244"/>
      <c r="I483" s="244"/>
      <c r="J483" s="244"/>
      <c r="K483" s="244"/>
      <c r="L483" s="244"/>
      <c r="M483" s="244"/>
      <c r="N483" s="244"/>
      <c r="O483" s="244"/>
    </row>
    <row r="484" spans="2:15" x14ac:dyDescent="0.2">
      <c r="B484" s="244"/>
      <c r="C484" s="244"/>
      <c r="D484" s="244"/>
      <c r="E484" s="244"/>
      <c r="F484" s="244"/>
      <c r="G484" s="244"/>
      <c r="H484" s="244"/>
      <c r="I484" s="244"/>
      <c r="J484" s="244"/>
      <c r="K484" s="244"/>
      <c r="L484" s="244"/>
      <c r="M484" s="244"/>
      <c r="N484" s="244"/>
      <c r="O484" s="244"/>
    </row>
    <row r="485" spans="2:15" x14ac:dyDescent="0.2">
      <c r="B485" s="244"/>
      <c r="C485" s="244"/>
      <c r="D485" s="244"/>
      <c r="E485" s="244"/>
      <c r="F485" s="244"/>
      <c r="G485" s="244"/>
      <c r="H485" s="244"/>
      <c r="I485" s="244"/>
      <c r="J485" s="244"/>
      <c r="K485" s="244"/>
      <c r="L485" s="244"/>
      <c r="M485" s="244"/>
      <c r="N485" s="244"/>
      <c r="O485" s="244"/>
    </row>
  </sheetData>
  <mergeCells count="18">
    <mergeCell ref="C15:D15"/>
    <mergeCell ref="F15:N15"/>
    <mergeCell ref="B17:D17"/>
    <mergeCell ref="B371:D371"/>
    <mergeCell ref="B405:N406"/>
    <mergeCell ref="A8:N8"/>
    <mergeCell ref="A9:N9"/>
    <mergeCell ref="A10:N10"/>
    <mergeCell ref="A13:A14"/>
    <mergeCell ref="B13:B14"/>
    <mergeCell ref="C13:D13"/>
    <mergeCell ref="F13:N13"/>
    <mergeCell ref="I6:N6"/>
    <mergeCell ref="I1:N1"/>
    <mergeCell ref="I2:N2"/>
    <mergeCell ref="I3:N3"/>
    <mergeCell ref="I4:N4"/>
    <mergeCell ref="I5:N5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0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98"/>
  <sheetViews>
    <sheetView view="pageBreakPreview" topLeftCell="A108" zoomScale="60" zoomScaleNormal="70" workbookViewId="0">
      <selection activeCell="R136" sqref="R136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8" width="18.28515625" customWidth="1"/>
    <col min="9" max="13" width="18" customWidth="1"/>
    <col min="14" max="16" width="26.5703125" customWidth="1"/>
    <col min="17" max="17" width="18.8554687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155"/>
      <c r="P1" s="155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155"/>
      <c r="P2" s="155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155"/>
      <c r="P3" s="155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155"/>
      <c r="P4" s="155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473</v>
      </c>
      <c r="J5" s="440"/>
      <c r="K5" s="440"/>
      <c r="L5" s="440"/>
      <c r="M5" s="440"/>
      <c r="N5" s="440"/>
      <c r="O5" s="155"/>
      <c r="P5" s="155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155"/>
      <c r="P6" s="155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152"/>
      <c r="P8" s="152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152"/>
      <c r="P9" s="152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153"/>
      <c r="P10" s="153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154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54" t="s">
        <v>15</v>
      </c>
      <c r="J14" s="110" t="s">
        <v>13</v>
      </c>
      <c r="K14" s="110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148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38" t="s">
        <v>20</v>
      </c>
      <c r="C16" s="38"/>
      <c r="D16" s="39"/>
      <c r="E16" s="103"/>
      <c r="F16" s="40">
        <f t="shared" ref="F16:N16" si="0">F17+F363</f>
        <v>639923</v>
      </c>
      <c r="G16" s="40">
        <f t="shared" si="0"/>
        <v>11399.699999999997</v>
      </c>
      <c r="H16" s="40">
        <f t="shared" si="0"/>
        <v>651322.69999999995</v>
      </c>
      <c r="I16" s="41">
        <f t="shared" si="0"/>
        <v>2501441.7000000007</v>
      </c>
      <c r="J16" s="40">
        <f t="shared" si="0"/>
        <v>155847</v>
      </c>
      <c r="K16" s="41">
        <f t="shared" si="0"/>
        <v>2657288.7000000007</v>
      </c>
      <c r="L16" s="41">
        <f t="shared" si="0"/>
        <v>3141364.6999999993</v>
      </c>
      <c r="M16" s="40">
        <f t="shared" si="0"/>
        <v>167246.69999999998</v>
      </c>
      <c r="N16" s="41">
        <f t="shared" si="0"/>
        <v>3308611.4000000004</v>
      </c>
      <c r="O16" s="130"/>
      <c r="P16" s="92"/>
    </row>
    <row r="17" spans="1:17" ht="32.450000000000003" customHeight="1" x14ac:dyDescent="0.2">
      <c r="A17" s="16" t="s">
        <v>21</v>
      </c>
      <c r="B17" s="459" t="s">
        <v>22</v>
      </c>
      <c r="C17" s="460"/>
      <c r="D17" s="460"/>
      <c r="E17" s="149"/>
      <c r="F17" s="17">
        <f t="shared" ref="F17:N17" si="1">F18+F34+F39+F75+F87+F125+F190+F225+F234+F282+F304+F320+F352+F356</f>
        <v>598587.80000000005</v>
      </c>
      <c r="G17" s="17">
        <f t="shared" si="1"/>
        <v>6859.8999999999978</v>
      </c>
      <c r="H17" s="17">
        <f t="shared" si="1"/>
        <v>605447.69999999995</v>
      </c>
      <c r="I17" s="18">
        <f t="shared" si="1"/>
        <v>2500673.6000000006</v>
      </c>
      <c r="J17" s="17">
        <f t="shared" si="1"/>
        <v>155847</v>
      </c>
      <c r="K17" s="18">
        <f t="shared" si="1"/>
        <v>2656520.6000000006</v>
      </c>
      <c r="L17" s="17">
        <f t="shared" si="1"/>
        <v>3099261.3999999994</v>
      </c>
      <c r="M17" s="17">
        <f t="shared" si="1"/>
        <v>162706.9</v>
      </c>
      <c r="N17" s="17">
        <f t="shared" si="1"/>
        <v>3261968.3000000003</v>
      </c>
      <c r="O17" s="93"/>
      <c r="P17" s="93"/>
    </row>
    <row r="18" spans="1:17" ht="22.15" customHeight="1" x14ac:dyDescent="0.2">
      <c r="A18" s="19" t="s">
        <v>23</v>
      </c>
      <c r="B18" s="20" t="s">
        <v>24</v>
      </c>
      <c r="C18" s="21" t="s">
        <v>25</v>
      </c>
      <c r="D18" s="22" t="s">
        <v>26</v>
      </c>
      <c r="E18" s="104"/>
      <c r="F18" s="23">
        <f t="shared" ref="F18:N18" si="2">F19+F25</f>
        <v>13909.1</v>
      </c>
      <c r="G18" s="23">
        <f t="shared" si="2"/>
        <v>931.3</v>
      </c>
      <c r="H18" s="23">
        <f t="shared" si="2"/>
        <v>14840.400000000001</v>
      </c>
      <c r="I18" s="24">
        <f t="shared" si="2"/>
        <v>156</v>
      </c>
      <c r="J18" s="23">
        <f>J19+J25</f>
        <v>0</v>
      </c>
      <c r="K18" s="24">
        <f t="shared" si="2"/>
        <v>156</v>
      </c>
      <c r="L18" s="23">
        <f t="shared" si="2"/>
        <v>14065.1</v>
      </c>
      <c r="M18" s="23">
        <f t="shared" si="2"/>
        <v>931.3</v>
      </c>
      <c r="N18" s="23">
        <f t="shared" si="2"/>
        <v>14996.400000000001</v>
      </c>
      <c r="O18" s="93"/>
      <c r="P18" s="93"/>
      <c r="Q18" s="25"/>
    </row>
    <row r="19" spans="1:17" ht="47.25" x14ac:dyDescent="0.2">
      <c r="A19" s="42"/>
      <c r="B19" s="43" t="s">
        <v>27</v>
      </c>
      <c r="C19" s="44" t="s">
        <v>28</v>
      </c>
      <c r="D19" s="45" t="s">
        <v>26</v>
      </c>
      <c r="E19" s="105"/>
      <c r="F19" s="46">
        <f>F20+F23</f>
        <v>2346.5</v>
      </c>
      <c r="G19" s="46">
        <f>G20+G23</f>
        <v>0</v>
      </c>
      <c r="H19" s="46">
        <f>H20+H23</f>
        <v>2346.5</v>
      </c>
      <c r="I19" s="47">
        <f>I20+I23</f>
        <v>0</v>
      </c>
      <c r="J19" s="88"/>
      <c r="K19" s="47">
        <f>K20+K23</f>
        <v>0</v>
      </c>
      <c r="L19" s="46">
        <f>L20+L23</f>
        <v>2346.5</v>
      </c>
      <c r="M19" s="46">
        <f>M20+M23</f>
        <v>0</v>
      </c>
      <c r="N19" s="46">
        <f>N20+N23</f>
        <v>2346.5</v>
      </c>
      <c r="O19" s="94"/>
      <c r="P19" s="94"/>
      <c r="Q19" s="48"/>
    </row>
    <row r="20" spans="1:17" ht="47.25" x14ac:dyDescent="0.2">
      <c r="A20" s="42"/>
      <c r="B20" s="43" t="s">
        <v>29</v>
      </c>
      <c r="C20" s="44" t="s">
        <v>30</v>
      </c>
      <c r="D20" s="45" t="s">
        <v>26</v>
      </c>
      <c r="E20" s="105"/>
      <c r="F20" s="46">
        <f>F21</f>
        <v>1500</v>
      </c>
      <c r="G20" s="46">
        <f>SUM(G22)</f>
        <v>71</v>
      </c>
      <c r="H20" s="46">
        <f>H21+G20</f>
        <v>1571</v>
      </c>
      <c r="I20" s="47">
        <f>I21</f>
        <v>0</v>
      </c>
      <c r="J20" s="88"/>
      <c r="K20" s="47">
        <f>K21</f>
        <v>0</v>
      </c>
      <c r="L20" s="46">
        <f>L21</f>
        <v>1500</v>
      </c>
      <c r="M20" s="46">
        <f>SUM(G20)</f>
        <v>71</v>
      </c>
      <c r="N20" s="46">
        <f>N21+N22</f>
        <v>1571</v>
      </c>
      <c r="O20" s="94"/>
      <c r="P20" s="94"/>
    </row>
    <row r="21" spans="1:17" ht="67.900000000000006" customHeight="1" x14ac:dyDescent="0.2">
      <c r="A21" s="42"/>
      <c r="B21" s="43" t="s">
        <v>31</v>
      </c>
      <c r="C21" s="44" t="s">
        <v>30</v>
      </c>
      <c r="D21" s="45" t="s">
        <v>32</v>
      </c>
      <c r="E21" s="105"/>
      <c r="F21" s="46">
        <v>1500</v>
      </c>
      <c r="G21" s="46"/>
      <c r="H21" s="46">
        <v>1500</v>
      </c>
      <c r="I21" s="47">
        <v>0</v>
      </c>
      <c r="J21" s="88"/>
      <c r="K21" s="47">
        <v>0</v>
      </c>
      <c r="L21" s="46">
        <v>1500</v>
      </c>
      <c r="M21" s="46"/>
      <c r="N21" s="46">
        <v>1500</v>
      </c>
      <c r="O21" s="94"/>
      <c r="P21" s="94"/>
    </row>
    <row r="22" spans="1:17" ht="51" customHeight="1" x14ac:dyDescent="0.2">
      <c r="A22" s="42"/>
      <c r="B22" s="43" t="s">
        <v>35</v>
      </c>
      <c r="C22" s="44" t="s">
        <v>30</v>
      </c>
      <c r="D22" s="45" t="s">
        <v>36</v>
      </c>
      <c r="E22" s="105"/>
      <c r="F22" s="46"/>
      <c r="G22" s="46">
        <v>71</v>
      </c>
      <c r="H22" s="46">
        <v>71</v>
      </c>
      <c r="I22" s="47"/>
      <c r="J22" s="88"/>
      <c r="K22" s="47"/>
      <c r="L22" s="46"/>
      <c r="M22" s="46">
        <f>SUM(G22)</f>
        <v>71</v>
      </c>
      <c r="N22" s="46">
        <f>SUM(H22)</f>
        <v>71</v>
      </c>
      <c r="O22" s="94"/>
      <c r="P22" s="94"/>
    </row>
    <row r="23" spans="1:17" ht="36" customHeight="1" x14ac:dyDescent="0.2">
      <c r="A23" s="42"/>
      <c r="B23" s="43" t="s">
        <v>33</v>
      </c>
      <c r="C23" s="44" t="s">
        <v>34</v>
      </c>
      <c r="D23" s="45" t="s">
        <v>26</v>
      </c>
      <c r="E23" s="105"/>
      <c r="F23" s="46">
        <f>F24</f>
        <v>846.5</v>
      </c>
      <c r="G23" s="46">
        <f>G24</f>
        <v>-71</v>
      </c>
      <c r="H23" s="46">
        <f>H24</f>
        <v>775.5</v>
      </c>
      <c r="I23" s="47">
        <f>I24</f>
        <v>0</v>
      </c>
      <c r="J23" s="88"/>
      <c r="K23" s="47">
        <f>K24</f>
        <v>0</v>
      </c>
      <c r="L23" s="46">
        <f>L24</f>
        <v>846.5</v>
      </c>
      <c r="M23" s="46">
        <f>M24</f>
        <v>-71</v>
      </c>
      <c r="N23" s="46">
        <f>N24</f>
        <v>775.5</v>
      </c>
      <c r="O23" s="94"/>
      <c r="P23" s="94"/>
    </row>
    <row r="24" spans="1:17" ht="31.5" x14ac:dyDescent="0.2">
      <c r="A24" s="42"/>
      <c r="B24" s="43" t="s">
        <v>35</v>
      </c>
      <c r="C24" s="44" t="s">
        <v>34</v>
      </c>
      <c r="D24" s="45" t="s">
        <v>36</v>
      </c>
      <c r="E24" s="105"/>
      <c r="F24" s="46">
        <v>846.5</v>
      </c>
      <c r="G24" s="46">
        <v>-71</v>
      </c>
      <c r="H24" s="46">
        <f>846.5+G24</f>
        <v>775.5</v>
      </c>
      <c r="I24" s="47">
        <v>0</v>
      </c>
      <c r="J24" s="88"/>
      <c r="K24" s="47">
        <v>0</v>
      </c>
      <c r="L24" s="46">
        <v>846.5</v>
      </c>
      <c r="M24" s="46">
        <f>SUM(G24)</f>
        <v>-71</v>
      </c>
      <c r="N24" s="46">
        <f>846.5+M24</f>
        <v>775.5</v>
      </c>
      <c r="O24" s="94"/>
      <c r="P24" s="94"/>
    </row>
    <row r="25" spans="1:17" ht="47.25" x14ac:dyDescent="0.2">
      <c r="A25" s="42"/>
      <c r="B25" s="43" t="s">
        <v>37</v>
      </c>
      <c r="C25" s="44" t="s">
        <v>38</v>
      </c>
      <c r="D25" s="45" t="s">
        <v>26</v>
      </c>
      <c r="E25" s="105"/>
      <c r="F25" s="46">
        <f>F26+F30</f>
        <v>11562.6</v>
      </c>
      <c r="G25" s="46">
        <f>G26+G30</f>
        <v>931.3</v>
      </c>
      <c r="H25" s="46">
        <f>H26+H30</f>
        <v>12493.900000000001</v>
      </c>
      <c r="I25" s="47">
        <f>I26+I30+I32</f>
        <v>156</v>
      </c>
      <c r="J25" s="88">
        <f>SUM(J32)</f>
        <v>0</v>
      </c>
      <c r="K25" s="47">
        <f>K26+K30+K32</f>
        <v>156</v>
      </c>
      <c r="L25" s="46">
        <f>L26+L30+L33</f>
        <v>11718.6</v>
      </c>
      <c r="M25" s="46">
        <f>M26+M30+J25</f>
        <v>931.3</v>
      </c>
      <c r="N25" s="46">
        <f>N26+N30+N33</f>
        <v>12649.900000000001</v>
      </c>
      <c r="O25" s="94"/>
      <c r="P25" s="94"/>
    </row>
    <row r="26" spans="1:17" ht="31.5" x14ac:dyDescent="0.2">
      <c r="A26" s="42"/>
      <c r="B26" s="43" t="s">
        <v>39</v>
      </c>
      <c r="C26" s="44" t="s">
        <v>40</v>
      </c>
      <c r="D26" s="45" t="s">
        <v>26</v>
      </c>
      <c r="E26" s="105"/>
      <c r="F26" s="46">
        <f>F27+F28+F29</f>
        <v>10677.5</v>
      </c>
      <c r="G26" s="46">
        <f>G27+G28+G29</f>
        <v>931.3</v>
      </c>
      <c r="H26" s="46">
        <f>H27+H28+H29</f>
        <v>11608.800000000001</v>
      </c>
      <c r="I26" s="47">
        <f>I27+I28+I29</f>
        <v>0</v>
      </c>
      <c r="J26" s="88">
        <f>SUM(I27)+J28</f>
        <v>0</v>
      </c>
      <c r="K26" s="47">
        <f>K27+K28+K29</f>
        <v>0</v>
      </c>
      <c r="L26" s="46">
        <f>L27+L28+L29</f>
        <v>10677.5</v>
      </c>
      <c r="M26" s="46">
        <f>M27+M28+M29</f>
        <v>931.3</v>
      </c>
      <c r="N26" s="46">
        <f>N27+N28+N29</f>
        <v>11608.800000000001</v>
      </c>
      <c r="O26" s="94"/>
      <c r="P26" s="94"/>
    </row>
    <row r="27" spans="1:17" ht="67.900000000000006" customHeight="1" x14ac:dyDescent="0.2">
      <c r="A27" s="42"/>
      <c r="B27" s="43" t="s">
        <v>31</v>
      </c>
      <c r="C27" s="44" t="s">
        <v>40</v>
      </c>
      <c r="D27" s="45" t="s">
        <v>32</v>
      </c>
      <c r="E27" s="105"/>
      <c r="F27" s="46">
        <v>8018.2</v>
      </c>
      <c r="G27" s="46">
        <v>931.3</v>
      </c>
      <c r="H27" s="46">
        <f>SUM(F27)+G27</f>
        <v>8949.5</v>
      </c>
      <c r="I27" s="47">
        <v>0</v>
      </c>
      <c r="J27" s="88"/>
      <c r="K27" s="47">
        <v>0</v>
      </c>
      <c r="L27" s="46">
        <f>SUM(F27)</f>
        <v>8018.2</v>
      </c>
      <c r="M27" s="46">
        <f>SUM(G27)</f>
        <v>931.3</v>
      </c>
      <c r="N27" s="46">
        <f>SUM(H27)</f>
        <v>8949.5</v>
      </c>
      <c r="O27" s="94"/>
      <c r="P27" s="94"/>
    </row>
    <row r="28" spans="1:17" ht="31.5" x14ac:dyDescent="0.2">
      <c r="A28" s="42"/>
      <c r="B28" s="43" t="s">
        <v>35</v>
      </c>
      <c r="C28" s="44" t="s">
        <v>40</v>
      </c>
      <c r="D28" s="45" t="s">
        <v>36</v>
      </c>
      <c r="E28" s="105"/>
      <c r="F28" s="46">
        <v>2655.6</v>
      </c>
      <c r="G28" s="46"/>
      <c r="H28" s="46">
        <f>SUM(F28)+G28</f>
        <v>2655.6</v>
      </c>
      <c r="I28" s="47">
        <v>0</v>
      </c>
      <c r="J28" s="88"/>
      <c r="K28" s="47">
        <f>SUM(J28)</f>
        <v>0</v>
      </c>
      <c r="L28" s="46">
        <f>SUM(F28)</f>
        <v>2655.6</v>
      </c>
      <c r="M28" s="46">
        <f>SUM(G28+J28)</f>
        <v>0</v>
      </c>
      <c r="N28" s="46">
        <f>SUM(H28)</f>
        <v>2655.6</v>
      </c>
      <c r="O28" s="94"/>
      <c r="P28" s="94"/>
    </row>
    <row r="29" spans="1:17" ht="15.75" x14ac:dyDescent="0.2">
      <c r="A29" s="42"/>
      <c r="B29" s="43" t="s">
        <v>41</v>
      </c>
      <c r="C29" s="44" t="s">
        <v>40</v>
      </c>
      <c r="D29" s="45" t="s">
        <v>42</v>
      </c>
      <c r="E29" s="105"/>
      <c r="F29" s="46">
        <v>3.7</v>
      </c>
      <c r="G29" s="46"/>
      <c r="H29" s="46">
        <v>3.7</v>
      </c>
      <c r="I29" s="47">
        <v>0</v>
      </c>
      <c r="J29" s="88"/>
      <c r="K29" s="47">
        <v>0</v>
      </c>
      <c r="L29" s="46">
        <v>3.7</v>
      </c>
      <c r="M29" s="46"/>
      <c r="N29" s="46">
        <v>3.7</v>
      </c>
      <c r="O29" s="94"/>
      <c r="P29" s="94"/>
    </row>
    <row r="30" spans="1:17" ht="31.5" x14ac:dyDescent="0.2">
      <c r="A30" s="42"/>
      <c r="B30" s="43" t="s">
        <v>43</v>
      </c>
      <c r="C30" s="44" t="s">
        <v>44</v>
      </c>
      <c r="D30" s="45" t="s">
        <v>26</v>
      </c>
      <c r="E30" s="105"/>
      <c r="F30" s="46">
        <f>F31</f>
        <v>885.1</v>
      </c>
      <c r="G30" s="46">
        <f>G31</f>
        <v>0</v>
      </c>
      <c r="H30" s="46">
        <f>H31</f>
        <v>885.1</v>
      </c>
      <c r="I30" s="47">
        <f>I31</f>
        <v>0</v>
      </c>
      <c r="J30" s="88"/>
      <c r="K30" s="47">
        <f>K31</f>
        <v>0</v>
      </c>
      <c r="L30" s="46">
        <f>L31</f>
        <v>885.1</v>
      </c>
      <c r="M30" s="46">
        <f>M31</f>
        <v>0</v>
      </c>
      <c r="N30" s="46">
        <f>N31</f>
        <v>885.1</v>
      </c>
      <c r="O30" s="94"/>
      <c r="P30" s="94"/>
    </row>
    <row r="31" spans="1:17" ht="31.5" x14ac:dyDescent="0.2">
      <c r="A31" s="42"/>
      <c r="B31" s="43" t="s">
        <v>35</v>
      </c>
      <c r="C31" s="44" t="s">
        <v>44</v>
      </c>
      <c r="D31" s="45" t="s">
        <v>36</v>
      </c>
      <c r="E31" s="105"/>
      <c r="F31" s="46">
        <v>885.1</v>
      </c>
      <c r="G31" s="46"/>
      <c r="H31" s="46">
        <f>SUM(F31)</f>
        <v>885.1</v>
      </c>
      <c r="I31" s="47">
        <v>0</v>
      </c>
      <c r="J31" s="88"/>
      <c r="K31" s="47">
        <v>0</v>
      </c>
      <c r="L31" s="46">
        <f>SUM(F31)</f>
        <v>885.1</v>
      </c>
      <c r="M31" s="46">
        <f>SUM(G31)</f>
        <v>0</v>
      </c>
      <c r="N31" s="46">
        <f>SUM(H31)</f>
        <v>885.1</v>
      </c>
      <c r="O31" s="94"/>
      <c r="P31" s="94"/>
    </row>
    <row r="32" spans="1:17" ht="63" x14ac:dyDescent="0.2">
      <c r="A32" s="42"/>
      <c r="B32" s="129" t="s">
        <v>45</v>
      </c>
      <c r="C32" s="44" t="s">
        <v>46</v>
      </c>
      <c r="D32" s="45"/>
      <c r="E32" s="105"/>
      <c r="F32" s="46"/>
      <c r="G32" s="46"/>
      <c r="H32" s="46"/>
      <c r="I32" s="47">
        <f>SUM(I33)</f>
        <v>156</v>
      </c>
      <c r="J32" s="88">
        <f>SUM(J33)</f>
        <v>0</v>
      </c>
      <c r="K32" s="47">
        <f>SUM(I32)</f>
        <v>156</v>
      </c>
      <c r="L32" s="46">
        <f>SUM(I32)</f>
        <v>156</v>
      </c>
      <c r="M32" s="46"/>
      <c r="N32" s="46">
        <f>SUM(K32)</f>
        <v>156</v>
      </c>
      <c r="O32" s="94"/>
      <c r="P32" s="94"/>
    </row>
    <row r="33" spans="1:17" ht="31.5" x14ac:dyDescent="0.2">
      <c r="A33" s="42"/>
      <c r="B33" s="43" t="s">
        <v>35</v>
      </c>
      <c r="C33" s="44" t="s">
        <v>46</v>
      </c>
      <c r="D33" s="45" t="s">
        <v>36</v>
      </c>
      <c r="E33" s="105"/>
      <c r="F33" s="46"/>
      <c r="G33" s="46"/>
      <c r="H33" s="46"/>
      <c r="I33" s="47">
        <v>156</v>
      </c>
      <c r="J33" s="88"/>
      <c r="K33" s="47">
        <f>SUM(I33)</f>
        <v>156</v>
      </c>
      <c r="L33" s="46">
        <f>SUM(I33)</f>
        <v>156</v>
      </c>
      <c r="M33" s="46">
        <f>SUM(J33)</f>
        <v>0</v>
      </c>
      <c r="N33" s="46">
        <f>SUM(K33)</f>
        <v>156</v>
      </c>
      <c r="O33" s="94"/>
      <c r="P33" s="94"/>
    </row>
    <row r="34" spans="1:17" ht="31.5" x14ac:dyDescent="0.2">
      <c r="A34" s="19" t="s">
        <v>47</v>
      </c>
      <c r="B34" s="20" t="s">
        <v>48</v>
      </c>
      <c r="C34" s="21" t="s">
        <v>49</v>
      </c>
      <c r="D34" s="22" t="s">
        <v>26</v>
      </c>
      <c r="E34" s="104"/>
      <c r="F34" s="23">
        <f t="shared" ref="F34:N35" si="3">F35</f>
        <v>1813.8</v>
      </c>
      <c r="G34" s="23">
        <f t="shared" si="3"/>
        <v>0</v>
      </c>
      <c r="H34" s="23">
        <f t="shared" si="3"/>
        <v>1813.8</v>
      </c>
      <c r="I34" s="24">
        <f t="shared" si="3"/>
        <v>0</v>
      </c>
      <c r="J34" s="23">
        <f t="shared" si="3"/>
        <v>0</v>
      </c>
      <c r="K34" s="24">
        <f t="shared" si="3"/>
        <v>0</v>
      </c>
      <c r="L34" s="23">
        <f t="shared" si="3"/>
        <v>1813.8</v>
      </c>
      <c r="M34" s="23">
        <f t="shared" si="3"/>
        <v>0</v>
      </c>
      <c r="N34" s="23">
        <f t="shared" si="3"/>
        <v>1813.8</v>
      </c>
      <c r="O34" s="93"/>
      <c r="P34" s="93"/>
    </row>
    <row r="35" spans="1:17" ht="50.45" customHeight="1" x14ac:dyDescent="0.2">
      <c r="A35" s="42"/>
      <c r="B35" s="43" t="s">
        <v>50</v>
      </c>
      <c r="C35" s="44" t="s">
        <v>51</v>
      </c>
      <c r="D35" s="45" t="s">
        <v>26</v>
      </c>
      <c r="E35" s="105"/>
      <c r="F35" s="46">
        <f t="shared" si="3"/>
        <v>1813.8</v>
      </c>
      <c r="G35" s="46">
        <f t="shared" si="3"/>
        <v>0</v>
      </c>
      <c r="H35" s="46">
        <f t="shared" si="3"/>
        <v>1813.8</v>
      </c>
      <c r="I35" s="47">
        <f t="shared" si="3"/>
        <v>0</v>
      </c>
      <c r="J35" s="88"/>
      <c r="K35" s="47">
        <f t="shared" si="3"/>
        <v>0</v>
      </c>
      <c r="L35" s="46">
        <f t="shared" si="3"/>
        <v>1813.8</v>
      </c>
      <c r="M35" s="46">
        <f t="shared" si="3"/>
        <v>0</v>
      </c>
      <c r="N35" s="46">
        <f t="shared" si="3"/>
        <v>1813.8</v>
      </c>
      <c r="O35" s="94"/>
      <c r="P35" s="94"/>
    </row>
    <row r="36" spans="1:17" ht="36.6" customHeight="1" x14ac:dyDescent="0.2">
      <c r="A36" s="42"/>
      <c r="B36" s="43" t="s">
        <v>52</v>
      </c>
      <c r="C36" s="44" t="s">
        <v>53</v>
      </c>
      <c r="D36" s="45" t="s">
        <v>26</v>
      </c>
      <c r="E36" s="105"/>
      <c r="F36" s="46">
        <f>F37+F38</f>
        <v>1813.8</v>
      </c>
      <c r="G36" s="46">
        <f>G37+G38</f>
        <v>0</v>
      </c>
      <c r="H36" s="46">
        <f>H37+H38</f>
        <v>1813.8</v>
      </c>
      <c r="I36" s="47">
        <f>I37+I38</f>
        <v>0</v>
      </c>
      <c r="J36" s="88"/>
      <c r="K36" s="47">
        <f>K37+K38</f>
        <v>0</v>
      </c>
      <c r="L36" s="46">
        <f>L37+L38</f>
        <v>1813.8</v>
      </c>
      <c r="M36" s="46">
        <f>M37+M38</f>
        <v>0</v>
      </c>
      <c r="N36" s="46">
        <f>N37+N38</f>
        <v>1813.8</v>
      </c>
      <c r="O36" s="94"/>
      <c r="P36" s="94"/>
    </row>
    <row r="37" spans="1:17" ht="31.5" x14ac:dyDescent="0.2">
      <c r="A37" s="42"/>
      <c r="B37" s="43" t="s">
        <v>35</v>
      </c>
      <c r="C37" s="44" t="s">
        <v>53</v>
      </c>
      <c r="D37" s="45" t="s">
        <v>36</v>
      </c>
      <c r="E37" s="105"/>
      <c r="F37" s="46">
        <v>300</v>
      </c>
      <c r="G37" s="46"/>
      <c r="H37" s="46">
        <v>300</v>
      </c>
      <c r="I37" s="47"/>
      <c r="J37" s="88"/>
      <c r="K37" s="47"/>
      <c r="L37" s="46">
        <v>300</v>
      </c>
      <c r="M37" s="46"/>
      <c r="N37" s="46">
        <v>300</v>
      </c>
      <c r="O37" s="94"/>
      <c r="P37" s="94"/>
    </row>
    <row r="38" spans="1:17" ht="15.75" x14ac:dyDescent="0.2">
      <c r="A38" s="42"/>
      <c r="B38" s="43" t="s">
        <v>54</v>
      </c>
      <c r="C38" s="44" t="s">
        <v>53</v>
      </c>
      <c r="D38" s="45" t="s">
        <v>55</v>
      </c>
      <c r="E38" s="105"/>
      <c r="F38" s="46">
        <v>1513.8</v>
      </c>
      <c r="G38" s="46"/>
      <c r="H38" s="46">
        <v>1513.8</v>
      </c>
      <c r="I38" s="47"/>
      <c r="J38" s="88"/>
      <c r="K38" s="47"/>
      <c r="L38" s="46">
        <v>1513.8</v>
      </c>
      <c r="M38" s="46"/>
      <c r="N38" s="46">
        <v>1513.8</v>
      </c>
      <c r="O38" s="94"/>
      <c r="P38" s="94"/>
    </row>
    <row r="39" spans="1:17" ht="31.5" x14ac:dyDescent="0.2">
      <c r="A39" s="19" t="s">
        <v>56</v>
      </c>
      <c r="B39" s="20" t="s">
        <v>57</v>
      </c>
      <c r="C39" s="21" t="s">
        <v>58</v>
      </c>
      <c r="D39" s="22" t="s">
        <v>26</v>
      </c>
      <c r="E39" s="104"/>
      <c r="F39" s="23">
        <f t="shared" ref="F39:N39" si="4">F40+F48+F69</f>
        <v>138099.89999999997</v>
      </c>
      <c r="G39" s="23">
        <f>G40+G48+G69</f>
        <v>1230</v>
      </c>
      <c r="H39" s="23">
        <f t="shared" si="4"/>
        <v>139329.9</v>
      </c>
      <c r="I39" s="24">
        <f t="shared" si="4"/>
        <v>5408.7</v>
      </c>
      <c r="J39" s="23">
        <f t="shared" si="4"/>
        <v>16215.4</v>
      </c>
      <c r="K39" s="24">
        <f t="shared" si="4"/>
        <v>21624.1</v>
      </c>
      <c r="L39" s="23">
        <f t="shared" si="4"/>
        <v>143508.59999999998</v>
      </c>
      <c r="M39" s="23">
        <f t="shared" si="4"/>
        <v>17445.400000000001</v>
      </c>
      <c r="N39" s="23">
        <f t="shared" si="4"/>
        <v>160953.99999999997</v>
      </c>
      <c r="O39" s="93"/>
      <c r="P39" s="93"/>
      <c r="Q39" s="25"/>
    </row>
    <row r="40" spans="1:17" ht="15.75" x14ac:dyDescent="0.2">
      <c r="A40" s="49"/>
      <c r="B40" s="50" t="s">
        <v>59</v>
      </c>
      <c r="C40" s="51" t="s">
        <v>60</v>
      </c>
      <c r="D40" s="52" t="s">
        <v>26</v>
      </c>
      <c r="E40" s="106"/>
      <c r="F40" s="53">
        <f>F41</f>
        <v>6334.3</v>
      </c>
      <c r="G40" s="53">
        <f>G41</f>
        <v>0</v>
      </c>
      <c r="H40" s="53">
        <f>H41</f>
        <v>6334.3</v>
      </c>
      <c r="I40" s="54">
        <f>I41</f>
        <v>0</v>
      </c>
      <c r="J40" s="87"/>
      <c r="K40" s="54">
        <f>K41</f>
        <v>0</v>
      </c>
      <c r="L40" s="53">
        <f>L41</f>
        <v>6334.3</v>
      </c>
      <c r="M40" s="53">
        <f>M41</f>
        <v>0</v>
      </c>
      <c r="N40" s="53">
        <f>N41</f>
        <v>6334.3</v>
      </c>
      <c r="O40" s="95"/>
      <c r="P40" s="95"/>
    </row>
    <row r="41" spans="1:17" ht="15.75" x14ac:dyDescent="0.2">
      <c r="A41" s="42"/>
      <c r="B41" s="43" t="s">
        <v>61</v>
      </c>
      <c r="C41" s="44" t="s">
        <v>62</v>
      </c>
      <c r="D41" s="45" t="s">
        <v>26</v>
      </c>
      <c r="E41" s="105"/>
      <c r="F41" s="46">
        <f>F42+F44+F46</f>
        <v>6334.3</v>
      </c>
      <c r="G41" s="46">
        <f>G42+G44+G46</f>
        <v>0</v>
      </c>
      <c r="H41" s="46">
        <f>H42+H44+H46</f>
        <v>6334.3</v>
      </c>
      <c r="I41" s="47">
        <f>I42+I44+I46</f>
        <v>0</v>
      </c>
      <c r="J41" s="88"/>
      <c r="K41" s="47">
        <f>K42+K44+K46</f>
        <v>0</v>
      </c>
      <c r="L41" s="46">
        <f>L42+L44+L46</f>
        <v>6334.3</v>
      </c>
      <c r="M41" s="46">
        <f>M42+M44+M46</f>
        <v>0</v>
      </c>
      <c r="N41" s="46">
        <f>N42+N44+N46</f>
        <v>6334.3</v>
      </c>
      <c r="O41" s="94"/>
      <c r="P41" s="94"/>
    </row>
    <row r="42" spans="1:17" ht="15.75" x14ac:dyDescent="0.2">
      <c r="A42" s="42"/>
      <c r="B42" s="43" t="s">
        <v>63</v>
      </c>
      <c r="C42" s="44" t="s">
        <v>64</v>
      </c>
      <c r="D42" s="45" t="s">
        <v>26</v>
      </c>
      <c r="E42" s="105"/>
      <c r="F42" s="46">
        <f>F43</f>
        <v>6034.3</v>
      </c>
      <c r="G42" s="46">
        <f>G43</f>
        <v>0</v>
      </c>
      <c r="H42" s="46">
        <f>H43</f>
        <v>6034.3</v>
      </c>
      <c r="I42" s="47">
        <f>I43</f>
        <v>0</v>
      </c>
      <c r="J42" s="88"/>
      <c r="K42" s="47">
        <f>K43</f>
        <v>0</v>
      </c>
      <c r="L42" s="46">
        <f>L43</f>
        <v>6034.3</v>
      </c>
      <c r="M42" s="46">
        <f>M43</f>
        <v>0</v>
      </c>
      <c r="N42" s="46">
        <f>N43</f>
        <v>6034.3</v>
      </c>
      <c r="O42" s="94"/>
      <c r="P42" s="94"/>
    </row>
    <row r="43" spans="1:17" ht="31.5" x14ac:dyDescent="0.2">
      <c r="A43" s="42"/>
      <c r="B43" s="43" t="s">
        <v>35</v>
      </c>
      <c r="C43" s="44" t="s">
        <v>64</v>
      </c>
      <c r="D43" s="45" t="s">
        <v>36</v>
      </c>
      <c r="E43" s="105"/>
      <c r="F43" s="46">
        <v>6034.3</v>
      </c>
      <c r="G43" s="46"/>
      <c r="H43" s="46">
        <f>SUM(F43)</f>
        <v>6034.3</v>
      </c>
      <c r="I43" s="47">
        <v>0</v>
      </c>
      <c r="J43" s="88"/>
      <c r="K43" s="47">
        <v>0</v>
      </c>
      <c r="L43" s="46">
        <f>SUM(F43)</f>
        <v>6034.3</v>
      </c>
      <c r="M43" s="46">
        <f>SUM(G43)</f>
        <v>0</v>
      </c>
      <c r="N43" s="46">
        <f>SUM(L43)</f>
        <v>6034.3</v>
      </c>
      <c r="O43" s="94"/>
      <c r="P43" s="94"/>
    </row>
    <row r="44" spans="1:17" ht="15.75" x14ac:dyDescent="0.2">
      <c r="A44" s="42"/>
      <c r="B44" s="43" t="s">
        <v>65</v>
      </c>
      <c r="C44" s="44" t="s">
        <v>66</v>
      </c>
      <c r="D44" s="45" t="s">
        <v>26</v>
      </c>
      <c r="E44" s="105"/>
      <c r="F44" s="46">
        <f>F45</f>
        <v>300</v>
      </c>
      <c r="G44" s="46">
        <f>G45</f>
        <v>0</v>
      </c>
      <c r="H44" s="46">
        <f>H45</f>
        <v>300</v>
      </c>
      <c r="I44" s="47">
        <f>I45</f>
        <v>0</v>
      </c>
      <c r="J44" s="88"/>
      <c r="K44" s="47">
        <f>K45</f>
        <v>0</v>
      </c>
      <c r="L44" s="46">
        <f>L45</f>
        <v>300</v>
      </c>
      <c r="M44" s="46">
        <f>M45</f>
        <v>0</v>
      </c>
      <c r="N44" s="46">
        <f>N45</f>
        <v>300</v>
      </c>
      <c r="O44" s="94"/>
      <c r="P44" s="94"/>
    </row>
    <row r="45" spans="1:17" ht="31.5" x14ac:dyDescent="0.2">
      <c r="A45" s="42"/>
      <c r="B45" s="43" t="s">
        <v>35</v>
      </c>
      <c r="C45" s="44" t="s">
        <v>66</v>
      </c>
      <c r="D45" s="45" t="s">
        <v>36</v>
      </c>
      <c r="E45" s="105"/>
      <c r="F45" s="46">
        <v>300</v>
      </c>
      <c r="G45" s="46"/>
      <c r="H45" s="46">
        <v>300</v>
      </c>
      <c r="I45" s="47">
        <v>0</v>
      </c>
      <c r="J45" s="88"/>
      <c r="K45" s="47">
        <v>0</v>
      </c>
      <c r="L45" s="46">
        <v>300</v>
      </c>
      <c r="M45" s="46"/>
      <c r="N45" s="46">
        <v>300</v>
      </c>
      <c r="O45" s="94"/>
      <c r="P45" s="94"/>
    </row>
    <row r="46" spans="1:17" ht="15.75" x14ac:dyDescent="0.2">
      <c r="A46" s="42"/>
      <c r="B46" s="43" t="s">
        <v>67</v>
      </c>
      <c r="C46" s="44" t="s">
        <v>68</v>
      </c>
      <c r="D46" s="45" t="s">
        <v>26</v>
      </c>
      <c r="E46" s="105"/>
      <c r="F46" s="46">
        <f>F47</f>
        <v>0</v>
      </c>
      <c r="G46" s="46">
        <f>G47</f>
        <v>0</v>
      </c>
      <c r="H46" s="46">
        <f>H47</f>
        <v>0</v>
      </c>
      <c r="I46" s="47">
        <f>I47</f>
        <v>0</v>
      </c>
      <c r="J46" s="88"/>
      <c r="K46" s="47">
        <f>K47</f>
        <v>0</v>
      </c>
      <c r="L46" s="46">
        <f>L47</f>
        <v>0</v>
      </c>
      <c r="M46" s="46">
        <f>M47</f>
        <v>0</v>
      </c>
      <c r="N46" s="46">
        <f>N47</f>
        <v>0</v>
      </c>
      <c r="O46" s="94"/>
      <c r="P46" s="94"/>
    </row>
    <row r="47" spans="1:17" ht="31.5" x14ac:dyDescent="0.2">
      <c r="A47" s="42"/>
      <c r="B47" s="43" t="s">
        <v>35</v>
      </c>
      <c r="C47" s="44" t="s">
        <v>68</v>
      </c>
      <c r="D47" s="45" t="s">
        <v>36</v>
      </c>
      <c r="E47" s="105"/>
      <c r="F47" s="46"/>
      <c r="G47" s="46"/>
      <c r="H47" s="46"/>
      <c r="I47" s="47">
        <v>0</v>
      </c>
      <c r="J47" s="88"/>
      <c r="K47" s="47">
        <v>0</v>
      </c>
      <c r="L47" s="46"/>
      <c r="M47" s="46"/>
      <c r="N47" s="46"/>
      <c r="O47" s="94"/>
      <c r="P47" s="94"/>
    </row>
    <row r="48" spans="1:17" ht="47.25" x14ac:dyDescent="0.2">
      <c r="A48" s="49"/>
      <c r="B48" s="50" t="s">
        <v>69</v>
      </c>
      <c r="C48" s="51" t="s">
        <v>70</v>
      </c>
      <c r="D48" s="52" t="s">
        <v>26</v>
      </c>
      <c r="E48" s="106"/>
      <c r="F48" s="53">
        <f t="shared" ref="F48:N48" si="5">F49+F64</f>
        <v>129899.69999999998</v>
      </c>
      <c r="G48" s="53">
        <f t="shared" si="5"/>
        <v>1005.3</v>
      </c>
      <c r="H48" s="53">
        <f t="shared" si="5"/>
        <v>130904.99999999999</v>
      </c>
      <c r="I48" s="54">
        <f t="shared" si="5"/>
        <v>5408.7</v>
      </c>
      <c r="J48" s="53">
        <f t="shared" si="5"/>
        <v>16215.4</v>
      </c>
      <c r="K48" s="54">
        <f t="shared" si="5"/>
        <v>21624.1</v>
      </c>
      <c r="L48" s="53">
        <f t="shared" si="5"/>
        <v>135308.4</v>
      </c>
      <c r="M48" s="53">
        <f t="shared" si="5"/>
        <v>17220.7</v>
      </c>
      <c r="N48" s="53">
        <f t="shared" si="5"/>
        <v>152529.09999999998</v>
      </c>
      <c r="O48" s="95"/>
      <c r="P48" s="95"/>
      <c r="Q48" s="55"/>
    </row>
    <row r="49" spans="1:17" ht="36.6" customHeight="1" x14ac:dyDescent="0.2">
      <c r="A49" s="42"/>
      <c r="B49" s="43" t="s">
        <v>71</v>
      </c>
      <c r="C49" s="44" t="s">
        <v>72</v>
      </c>
      <c r="D49" s="45" t="s">
        <v>26</v>
      </c>
      <c r="E49" s="105"/>
      <c r="F49" s="46">
        <f>F50+F57+F59+F61+F55</f>
        <v>120188.49999999999</v>
      </c>
      <c r="G49" s="46">
        <f>G50+G57+G59+G61+G55</f>
        <v>0</v>
      </c>
      <c r="H49" s="46">
        <f>H50+H57+H59+H61+H55</f>
        <v>120188.49999999999</v>
      </c>
      <c r="I49" s="46">
        <f>I50+I57+I59+I61+I55</f>
        <v>5408.7</v>
      </c>
      <c r="J49" s="46">
        <f>SUM(J55)+J50</f>
        <v>16215.4</v>
      </c>
      <c r="K49" s="46">
        <f>SUM(K55)+K50+I49</f>
        <v>21624.1</v>
      </c>
      <c r="L49" s="46">
        <f>L50+L57+L59+L61+L55</f>
        <v>125597.19999999998</v>
      </c>
      <c r="M49" s="46">
        <f>M50+M57+M59+M61+M55</f>
        <v>16215.4</v>
      </c>
      <c r="N49" s="46">
        <f>N50+N57+N59+N61+N55</f>
        <v>141812.59999999998</v>
      </c>
      <c r="O49" s="94"/>
      <c r="P49" s="94"/>
      <c r="Q49" s="48"/>
    </row>
    <row r="50" spans="1:17" ht="31.5" x14ac:dyDescent="0.2">
      <c r="A50" s="42"/>
      <c r="B50" s="43" t="s">
        <v>39</v>
      </c>
      <c r="C50" s="44" t="s">
        <v>73</v>
      </c>
      <c r="D50" s="45" t="s">
        <v>26</v>
      </c>
      <c r="E50" s="105"/>
      <c r="F50" s="46">
        <f>SUM(F53+F54+F52)+F51</f>
        <v>115445</v>
      </c>
      <c r="G50" s="46">
        <f>G51+G52+G53+G54</f>
        <v>0</v>
      </c>
      <c r="H50" s="46">
        <f>H51+H52+H53+H54</f>
        <v>115445</v>
      </c>
      <c r="I50" s="47">
        <f>I51+I52+I53+I54</f>
        <v>0</v>
      </c>
      <c r="J50" s="88">
        <f>SUM(J53+J51)</f>
        <v>16215.4</v>
      </c>
      <c r="K50" s="47">
        <f>K51+K52+K53+K54</f>
        <v>16215.4</v>
      </c>
      <c r="L50" s="46">
        <f>L51+L52+L53+L54</f>
        <v>115445</v>
      </c>
      <c r="M50" s="46">
        <f>M51+M52+M53+M54</f>
        <v>16215.4</v>
      </c>
      <c r="N50" s="46">
        <f>N51+N52+N53+N54</f>
        <v>131660.4</v>
      </c>
      <c r="O50" s="94"/>
      <c r="P50" s="94"/>
    </row>
    <row r="51" spans="1:17" ht="64.150000000000006" customHeight="1" x14ac:dyDescent="0.2">
      <c r="A51" s="42"/>
      <c r="B51" s="43" t="s">
        <v>31</v>
      </c>
      <c r="C51" s="44" t="s">
        <v>73</v>
      </c>
      <c r="D51" s="45" t="s">
        <v>32</v>
      </c>
      <c r="E51" s="105"/>
      <c r="F51" s="56">
        <f>20290.4+351.1</f>
        <v>20641.5</v>
      </c>
      <c r="G51" s="56"/>
      <c r="H51" s="56">
        <f>20290.4+351.1</f>
        <v>20641.5</v>
      </c>
      <c r="I51" s="47">
        <v>0</v>
      </c>
      <c r="J51" s="111">
        <f>2349.2+407.6</f>
        <v>2756.7999999999997</v>
      </c>
      <c r="K51" s="47">
        <f>SUM(J51)</f>
        <v>2756.7999999999997</v>
      </c>
      <c r="L51" s="56">
        <f>20290.4+351.1</f>
        <v>20641.5</v>
      </c>
      <c r="M51" s="56">
        <f>SUM(J51)</f>
        <v>2756.7999999999997</v>
      </c>
      <c r="N51" s="56">
        <f>20290.4+351.1+M51</f>
        <v>23398.3</v>
      </c>
      <c r="O51" s="94"/>
      <c r="P51" s="94"/>
    </row>
    <row r="52" spans="1:17" ht="31.5" x14ac:dyDescent="0.2">
      <c r="A52" s="42"/>
      <c r="B52" s="43" t="s">
        <v>35</v>
      </c>
      <c r="C52" s="44" t="s">
        <v>73</v>
      </c>
      <c r="D52" s="45" t="s">
        <v>36</v>
      </c>
      <c r="E52" s="105"/>
      <c r="F52" s="46">
        <v>6910.7</v>
      </c>
      <c r="G52" s="46"/>
      <c r="H52" s="46">
        <f>SUM(F52)</f>
        <v>6910.7</v>
      </c>
      <c r="I52" s="47">
        <v>0</v>
      </c>
      <c r="J52" s="88"/>
      <c r="K52" s="47">
        <v>0</v>
      </c>
      <c r="L52" s="46">
        <f>SUM(F52)</f>
        <v>6910.7</v>
      </c>
      <c r="M52" s="46">
        <f>SUM(G52)</f>
        <v>0</v>
      </c>
      <c r="N52" s="46">
        <f>SUM(H52)</f>
        <v>6910.7</v>
      </c>
      <c r="O52" s="94"/>
      <c r="P52" s="94"/>
    </row>
    <row r="53" spans="1:17" ht="31.5" x14ac:dyDescent="0.2">
      <c r="A53" s="42"/>
      <c r="B53" s="43" t="s">
        <v>74</v>
      </c>
      <c r="C53" s="44" t="s">
        <v>73</v>
      </c>
      <c r="D53" s="45" t="s">
        <v>75</v>
      </c>
      <c r="E53" s="105"/>
      <c r="F53" s="56">
        <f>86661+1213.2</f>
        <v>87874.2</v>
      </c>
      <c r="G53" s="56"/>
      <c r="H53" s="56">
        <f>86661+1213.2</f>
        <v>87874.2</v>
      </c>
      <c r="I53" s="47">
        <v>0</v>
      </c>
      <c r="J53" s="111">
        <f>13192.4+266.2</f>
        <v>13458.6</v>
      </c>
      <c r="K53" s="47">
        <f>SUM(J53)</f>
        <v>13458.6</v>
      </c>
      <c r="L53" s="56">
        <f>86661+1213.2</f>
        <v>87874.2</v>
      </c>
      <c r="M53" s="56">
        <f>SUM(J53)</f>
        <v>13458.6</v>
      </c>
      <c r="N53" s="56">
        <f>86661+1213.2+M53</f>
        <v>101332.8</v>
      </c>
      <c r="O53" s="94"/>
      <c r="P53" s="94"/>
    </row>
    <row r="54" spans="1:17" ht="15.75" x14ac:dyDescent="0.2">
      <c r="A54" s="42"/>
      <c r="B54" s="43" t="s">
        <v>41</v>
      </c>
      <c r="C54" s="44" t="s">
        <v>73</v>
      </c>
      <c r="D54" s="45" t="s">
        <v>42</v>
      </c>
      <c r="E54" s="105"/>
      <c r="F54" s="46">
        <v>18.600000000000001</v>
      </c>
      <c r="G54" s="46"/>
      <c r="H54" s="46">
        <v>18.600000000000001</v>
      </c>
      <c r="I54" s="47">
        <v>0</v>
      </c>
      <c r="J54" s="88"/>
      <c r="K54" s="47">
        <v>0</v>
      </c>
      <c r="L54" s="46">
        <v>18.600000000000001</v>
      </c>
      <c r="M54" s="46"/>
      <c r="N54" s="46">
        <v>18.600000000000001</v>
      </c>
      <c r="O54" s="94"/>
      <c r="P54" s="94"/>
    </row>
    <row r="55" spans="1:17" ht="42.75" customHeight="1" x14ac:dyDescent="0.2">
      <c r="A55" s="42"/>
      <c r="B55" s="122" t="s">
        <v>76</v>
      </c>
      <c r="C55" s="44" t="s">
        <v>77</v>
      </c>
      <c r="D55" s="45"/>
      <c r="E55" s="105"/>
      <c r="F55" s="46">
        <f>SUM(F56)</f>
        <v>1448.9</v>
      </c>
      <c r="G55" s="46">
        <f>SUM(G56)</f>
        <v>600</v>
      </c>
      <c r="H55" s="46">
        <f>SUM(F55)+G55</f>
        <v>2048.9</v>
      </c>
      <c r="I55" s="47">
        <f>SUM(I56)</f>
        <v>0</v>
      </c>
      <c r="J55" s="88">
        <f>SUM(J56)</f>
        <v>0</v>
      </c>
      <c r="K55" s="47">
        <f>SUM(K56)</f>
        <v>0</v>
      </c>
      <c r="L55" s="46">
        <f>SUM(L56)</f>
        <v>1448.9</v>
      </c>
      <c r="M55" s="46">
        <f>SUM(J55)+G55</f>
        <v>600</v>
      </c>
      <c r="N55" s="46">
        <f>SUM(N56)</f>
        <v>2048.9</v>
      </c>
      <c r="O55" s="94"/>
      <c r="P55" s="94"/>
    </row>
    <row r="56" spans="1:17" ht="31.5" x14ac:dyDescent="0.2">
      <c r="A56" s="42"/>
      <c r="B56" s="43" t="s">
        <v>74</v>
      </c>
      <c r="C56" s="44" t="s">
        <v>77</v>
      </c>
      <c r="D56" s="45" t="s">
        <v>75</v>
      </c>
      <c r="E56" s="105"/>
      <c r="F56" s="46">
        <v>1448.9</v>
      </c>
      <c r="G56" s="46">
        <v>600</v>
      </c>
      <c r="H56" s="46">
        <f>SUM(F56)+G56</f>
        <v>2048.9</v>
      </c>
      <c r="I56" s="47">
        <v>0</v>
      </c>
      <c r="J56" s="88"/>
      <c r="K56" s="47">
        <f>SUM(I56)+J56</f>
        <v>0</v>
      </c>
      <c r="L56" s="46">
        <f>SUM(F56+I56)</f>
        <v>1448.9</v>
      </c>
      <c r="M56" s="46">
        <f>SUM(J56)+G56</f>
        <v>600</v>
      </c>
      <c r="N56" s="46">
        <f>SUM(K56)+H56</f>
        <v>2048.9</v>
      </c>
      <c r="O56" s="94"/>
      <c r="P56" s="94"/>
    </row>
    <row r="57" spans="1:17" ht="36" customHeight="1" x14ac:dyDescent="0.2">
      <c r="A57" s="42"/>
      <c r="B57" s="43" t="s">
        <v>78</v>
      </c>
      <c r="C57" s="44" t="s">
        <v>79</v>
      </c>
      <c r="D57" s="45" t="s">
        <v>26</v>
      </c>
      <c r="E57" s="105"/>
      <c r="F57" s="46">
        <f>F58</f>
        <v>2414</v>
      </c>
      <c r="G57" s="46">
        <f>G58</f>
        <v>-600</v>
      </c>
      <c r="H57" s="46">
        <f>H58</f>
        <v>1814</v>
      </c>
      <c r="I57" s="47">
        <f>I58</f>
        <v>0</v>
      </c>
      <c r="J57" s="88"/>
      <c r="K57" s="47">
        <f>K58</f>
        <v>0</v>
      </c>
      <c r="L57" s="46">
        <f>L58</f>
        <v>2414</v>
      </c>
      <c r="M57" s="46">
        <f>M58</f>
        <v>-600</v>
      </c>
      <c r="N57" s="46">
        <f>N58</f>
        <v>1814</v>
      </c>
      <c r="O57" s="94"/>
      <c r="P57" s="94"/>
    </row>
    <row r="58" spans="1:17" ht="31.5" x14ac:dyDescent="0.2">
      <c r="A58" s="42"/>
      <c r="B58" s="43" t="s">
        <v>74</v>
      </c>
      <c r="C58" s="44" t="s">
        <v>79</v>
      </c>
      <c r="D58" s="45" t="s">
        <v>75</v>
      </c>
      <c r="E58" s="105"/>
      <c r="F58" s="46">
        <v>2414</v>
      </c>
      <c r="G58" s="46">
        <v>-600</v>
      </c>
      <c r="H58" s="46">
        <f>2414+G58</f>
        <v>1814</v>
      </c>
      <c r="I58" s="47">
        <v>0</v>
      </c>
      <c r="J58" s="88"/>
      <c r="K58" s="47">
        <v>0</v>
      </c>
      <c r="L58" s="46">
        <f>SUM(F58)</f>
        <v>2414</v>
      </c>
      <c r="M58" s="46">
        <f>SUM(G58)</f>
        <v>-600</v>
      </c>
      <c r="N58" s="46">
        <f>SUM(L58)+M58</f>
        <v>1814</v>
      </c>
      <c r="O58" s="94"/>
      <c r="P58" s="94"/>
    </row>
    <row r="59" spans="1:17" ht="33" customHeight="1" x14ac:dyDescent="0.2">
      <c r="A59" s="42"/>
      <c r="B59" s="43" t="s">
        <v>80</v>
      </c>
      <c r="C59" s="44" t="s">
        <v>81</v>
      </c>
      <c r="D59" s="45" t="s">
        <v>26</v>
      </c>
      <c r="E59" s="105"/>
      <c r="F59" s="46">
        <f>F60</f>
        <v>626.20000000000005</v>
      </c>
      <c r="G59" s="46">
        <f>G60</f>
        <v>0</v>
      </c>
      <c r="H59" s="46">
        <f>H60</f>
        <v>626.20000000000005</v>
      </c>
      <c r="I59" s="47">
        <f>I60</f>
        <v>3846.2</v>
      </c>
      <c r="J59" s="88"/>
      <c r="K59" s="47">
        <f>K60</f>
        <v>3846.2</v>
      </c>
      <c r="L59" s="46">
        <f>L60</f>
        <v>4472.3999999999996</v>
      </c>
      <c r="M59" s="46">
        <f>M60</f>
        <v>0</v>
      </c>
      <c r="N59" s="46">
        <f>N60</f>
        <v>4472.3999999999996</v>
      </c>
      <c r="O59" s="94"/>
      <c r="P59" s="94"/>
    </row>
    <row r="60" spans="1:17" ht="31.5" x14ac:dyDescent="0.2">
      <c r="A60" s="42"/>
      <c r="B60" s="43" t="s">
        <v>74</v>
      </c>
      <c r="C60" s="44" t="s">
        <v>81</v>
      </c>
      <c r="D60" s="45" t="s">
        <v>75</v>
      </c>
      <c r="E60" s="105"/>
      <c r="F60" s="46">
        <v>626.20000000000005</v>
      </c>
      <c r="G60" s="46"/>
      <c r="H60" s="46">
        <v>626.20000000000005</v>
      </c>
      <c r="I60" s="47">
        <v>3846.2</v>
      </c>
      <c r="J60" s="88"/>
      <c r="K60" s="47">
        <v>3846.2</v>
      </c>
      <c r="L60" s="46">
        <f>626.2+I60</f>
        <v>4472.3999999999996</v>
      </c>
      <c r="M60" s="46"/>
      <c r="N60" s="46">
        <f>626.2+K60</f>
        <v>4472.3999999999996</v>
      </c>
      <c r="O60" s="94"/>
      <c r="P60" s="94"/>
    </row>
    <row r="61" spans="1:17" ht="15.75" x14ac:dyDescent="0.2">
      <c r="A61" s="42"/>
      <c r="B61" s="43" t="s">
        <v>82</v>
      </c>
      <c r="C61" s="44" t="s">
        <v>83</v>
      </c>
      <c r="D61" s="45"/>
      <c r="E61" s="105"/>
      <c r="F61" s="46">
        <v>254.4</v>
      </c>
      <c r="G61" s="46"/>
      <c r="H61" s="46">
        <v>254.4</v>
      </c>
      <c r="I61" s="47">
        <v>1562.5</v>
      </c>
      <c r="J61" s="88"/>
      <c r="K61" s="47">
        <v>1562.5</v>
      </c>
      <c r="L61" s="46">
        <f>254.4+I61</f>
        <v>1816.9</v>
      </c>
      <c r="M61" s="46"/>
      <c r="N61" s="46">
        <f>254.4+K61</f>
        <v>1816.9</v>
      </c>
      <c r="O61" s="94"/>
      <c r="P61" s="94"/>
    </row>
    <row r="62" spans="1:17" ht="21" customHeight="1" x14ac:dyDescent="0.2">
      <c r="A62" s="42"/>
      <c r="B62" s="43" t="s">
        <v>84</v>
      </c>
      <c r="C62" s="44" t="s">
        <v>85</v>
      </c>
      <c r="D62" s="45"/>
      <c r="E62" s="105"/>
      <c r="F62" s="46">
        <v>254.4</v>
      </c>
      <c r="G62" s="46"/>
      <c r="H62" s="46">
        <v>254.4</v>
      </c>
      <c r="I62" s="47">
        <v>1562.5</v>
      </c>
      <c r="J62" s="88"/>
      <c r="K62" s="47">
        <v>1562.5</v>
      </c>
      <c r="L62" s="46">
        <f>254.4+I62</f>
        <v>1816.9</v>
      </c>
      <c r="M62" s="46"/>
      <c r="N62" s="46">
        <f>254.4+K62</f>
        <v>1816.9</v>
      </c>
      <c r="O62" s="94"/>
      <c r="P62" s="94"/>
    </row>
    <row r="63" spans="1:17" ht="31.5" x14ac:dyDescent="0.2">
      <c r="A63" s="42"/>
      <c r="B63" s="43" t="s">
        <v>74</v>
      </c>
      <c r="C63" s="44" t="s">
        <v>83</v>
      </c>
      <c r="D63" s="45" t="s">
        <v>75</v>
      </c>
      <c r="E63" s="105"/>
      <c r="F63" s="46">
        <v>254.4</v>
      </c>
      <c r="G63" s="46"/>
      <c r="H63" s="46">
        <v>254.4</v>
      </c>
      <c r="I63" s="47">
        <v>1562.5</v>
      </c>
      <c r="J63" s="88"/>
      <c r="K63" s="47">
        <v>1562.5</v>
      </c>
      <c r="L63" s="46">
        <f>254.4+I63</f>
        <v>1816.9</v>
      </c>
      <c r="M63" s="46"/>
      <c r="N63" s="46">
        <f>254.4+K63</f>
        <v>1816.9</v>
      </c>
      <c r="O63" s="94"/>
      <c r="P63" s="94"/>
    </row>
    <row r="64" spans="1:17" ht="36" customHeight="1" x14ac:dyDescent="0.2">
      <c r="A64" s="42"/>
      <c r="B64" s="43" t="s">
        <v>86</v>
      </c>
      <c r="C64" s="44" t="s">
        <v>87</v>
      </c>
      <c r="D64" s="45" t="s">
        <v>26</v>
      </c>
      <c r="E64" s="105"/>
      <c r="F64" s="46">
        <f>F65</f>
        <v>9711.2000000000007</v>
      </c>
      <c r="G64" s="46">
        <f>G65</f>
        <v>1005.3</v>
      </c>
      <c r="H64" s="46">
        <f>H65</f>
        <v>10716.5</v>
      </c>
      <c r="I64" s="47">
        <f>I65</f>
        <v>0</v>
      </c>
      <c r="J64" s="88"/>
      <c r="K64" s="47">
        <f>K65</f>
        <v>0</v>
      </c>
      <c r="L64" s="46">
        <f>L65</f>
        <v>9711.2000000000007</v>
      </c>
      <c r="M64" s="46">
        <f>M65</f>
        <v>1005.3</v>
      </c>
      <c r="N64" s="46">
        <f>N65</f>
        <v>10716.5</v>
      </c>
      <c r="O64" s="94"/>
      <c r="P64" s="94"/>
    </row>
    <row r="65" spans="1:16" ht="31.5" x14ac:dyDescent="0.2">
      <c r="A65" s="42"/>
      <c r="B65" s="43" t="s">
        <v>39</v>
      </c>
      <c r="C65" s="44" t="s">
        <v>88</v>
      </c>
      <c r="D65" s="45" t="s">
        <v>26</v>
      </c>
      <c r="E65" s="105"/>
      <c r="F65" s="46">
        <f>F66+F67+F68</f>
        <v>9711.2000000000007</v>
      </c>
      <c r="G65" s="46">
        <f>G66+G67+G68</f>
        <v>1005.3</v>
      </c>
      <c r="H65" s="46">
        <f>H66+H67+H68</f>
        <v>10716.5</v>
      </c>
      <c r="I65" s="47">
        <f>I66+I67+I68</f>
        <v>0</v>
      </c>
      <c r="J65" s="88"/>
      <c r="K65" s="47">
        <f>K66+K67+K68</f>
        <v>0</v>
      </c>
      <c r="L65" s="46">
        <f>L66+L67+L68</f>
        <v>9711.2000000000007</v>
      </c>
      <c r="M65" s="46">
        <f>M66+M67+M68</f>
        <v>1005.3</v>
      </c>
      <c r="N65" s="46">
        <f>N66+N67+N68</f>
        <v>10716.5</v>
      </c>
      <c r="O65" s="94"/>
      <c r="P65" s="94"/>
    </row>
    <row r="66" spans="1:16" ht="70.150000000000006" customHeight="1" x14ac:dyDescent="0.2">
      <c r="A66" s="42"/>
      <c r="B66" s="43" t="s">
        <v>31</v>
      </c>
      <c r="C66" s="44" t="s">
        <v>88</v>
      </c>
      <c r="D66" s="45" t="s">
        <v>32</v>
      </c>
      <c r="E66" s="105"/>
      <c r="F66" s="46">
        <v>8283.2000000000007</v>
      </c>
      <c r="G66" s="46">
        <v>1005.3</v>
      </c>
      <c r="H66" s="46">
        <f>SUM(F66)+G66</f>
        <v>9288.5</v>
      </c>
      <c r="I66" s="47">
        <v>0</v>
      </c>
      <c r="J66" s="88"/>
      <c r="K66" s="47">
        <v>0</v>
      </c>
      <c r="L66" s="46">
        <f t="shared" ref="L66:N67" si="6">SUM(F66)</f>
        <v>8283.2000000000007</v>
      </c>
      <c r="M66" s="46">
        <f t="shared" si="6"/>
        <v>1005.3</v>
      </c>
      <c r="N66" s="46">
        <f t="shared" si="6"/>
        <v>9288.5</v>
      </c>
      <c r="O66" s="94"/>
      <c r="P66" s="94"/>
    </row>
    <row r="67" spans="1:16" ht="31.5" x14ac:dyDescent="0.2">
      <c r="A67" s="42"/>
      <c r="B67" s="43" t="s">
        <v>35</v>
      </c>
      <c r="C67" s="44" t="s">
        <v>88</v>
      </c>
      <c r="D67" s="45" t="s">
        <v>36</v>
      </c>
      <c r="E67" s="105"/>
      <c r="F67" s="46">
        <v>1426.9</v>
      </c>
      <c r="G67" s="46"/>
      <c r="H67" s="46">
        <f>SUM(F67)</f>
        <v>1426.9</v>
      </c>
      <c r="I67" s="47">
        <v>0</v>
      </c>
      <c r="J67" s="88"/>
      <c r="K67" s="47">
        <v>0</v>
      </c>
      <c r="L67" s="46">
        <f t="shared" si="6"/>
        <v>1426.9</v>
      </c>
      <c r="M67" s="46">
        <f t="shared" si="6"/>
        <v>0</v>
      </c>
      <c r="N67" s="46">
        <f t="shared" si="6"/>
        <v>1426.9</v>
      </c>
      <c r="O67" s="94"/>
      <c r="P67" s="94"/>
    </row>
    <row r="68" spans="1:16" ht="15.75" x14ac:dyDescent="0.2">
      <c r="A68" s="42"/>
      <c r="B68" s="43" t="s">
        <v>41</v>
      </c>
      <c r="C68" s="44" t="s">
        <v>88</v>
      </c>
      <c r="D68" s="45" t="s">
        <v>42</v>
      </c>
      <c r="E68" s="105"/>
      <c r="F68" s="46">
        <v>1.1000000000000001</v>
      </c>
      <c r="G68" s="46"/>
      <c r="H68" s="46">
        <v>1.1000000000000001</v>
      </c>
      <c r="I68" s="47">
        <v>0</v>
      </c>
      <c r="J68" s="88"/>
      <c r="K68" s="47">
        <v>0</v>
      </c>
      <c r="L68" s="46">
        <v>1.1000000000000001</v>
      </c>
      <c r="M68" s="46"/>
      <c r="N68" s="46">
        <v>1.1000000000000001</v>
      </c>
      <c r="O68" s="94"/>
      <c r="P68" s="94"/>
    </row>
    <row r="69" spans="1:16" ht="31.5" x14ac:dyDescent="0.2">
      <c r="A69" s="49"/>
      <c r="B69" s="50" t="s">
        <v>89</v>
      </c>
      <c r="C69" s="51" t="s">
        <v>90</v>
      </c>
      <c r="D69" s="52" t="s">
        <v>26</v>
      </c>
      <c r="E69" s="106"/>
      <c r="F69" s="53">
        <f t="shared" ref="F69:N70" si="7">F70</f>
        <v>1865.9</v>
      </c>
      <c r="G69" s="53">
        <f t="shared" si="7"/>
        <v>224.7</v>
      </c>
      <c r="H69" s="53">
        <f t="shared" si="7"/>
        <v>2090.6</v>
      </c>
      <c r="I69" s="54">
        <f t="shared" si="7"/>
        <v>0</v>
      </c>
      <c r="J69" s="53">
        <f t="shared" si="7"/>
        <v>0</v>
      </c>
      <c r="K69" s="54">
        <f t="shared" si="7"/>
        <v>0</v>
      </c>
      <c r="L69" s="53">
        <f t="shared" si="7"/>
        <v>1865.9</v>
      </c>
      <c r="M69" s="53">
        <f t="shared" si="7"/>
        <v>224.7</v>
      </c>
      <c r="N69" s="53">
        <f t="shared" si="7"/>
        <v>2090.6</v>
      </c>
      <c r="O69" s="95"/>
      <c r="P69" s="95"/>
    </row>
    <row r="70" spans="1:16" ht="31.5" x14ac:dyDescent="0.2">
      <c r="A70" s="42"/>
      <c r="B70" s="43" t="s">
        <v>91</v>
      </c>
      <c r="C70" s="44" t="s">
        <v>92</v>
      </c>
      <c r="D70" s="45" t="s">
        <v>26</v>
      </c>
      <c r="E70" s="105"/>
      <c r="F70" s="46">
        <f t="shared" si="7"/>
        <v>1865.9</v>
      </c>
      <c r="G70" s="46">
        <f t="shared" si="7"/>
        <v>224.7</v>
      </c>
      <c r="H70" s="46">
        <f t="shared" si="7"/>
        <v>2090.6</v>
      </c>
      <c r="I70" s="47">
        <f t="shared" si="7"/>
        <v>0</v>
      </c>
      <c r="J70" s="88"/>
      <c r="K70" s="47">
        <f t="shared" si="7"/>
        <v>0</v>
      </c>
      <c r="L70" s="46">
        <f t="shared" si="7"/>
        <v>1865.9</v>
      </c>
      <c r="M70" s="46">
        <f t="shared" si="7"/>
        <v>224.7</v>
      </c>
      <c r="N70" s="46">
        <f t="shared" si="7"/>
        <v>2090.6</v>
      </c>
      <c r="O70" s="94"/>
      <c r="P70" s="94"/>
    </row>
    <row r="71" spans="1:16" ht="31.5" x14ac:dyDescent="0.2">
      <c r="A71" s="42"/>
      <c r="B71" s="43" t="s">
        <v>93</v>
      </c>
      <c r="C71" s="44" t="s">
        <v>94</v>
      </c>
      <c r="D71" s="45" t="s">
        <v>26</v>
      </c>
      <c r="E71" s="105"/>
      <c r="F71" s="46">
        <f>F72+F73</f>
        <v>1865.9</v>
      </c>
      <c r="G71" s="46">
        <f>G72+G73+G74</f>
        <v>224.7</v>
      </c>
      <c r="H71" s="46">
        <f>H72+H73+H74</f>
        <v>2090.6</v>
      </c>
      <c r="I71" s="47">
        <f>I72+I73</f>
        <v>0</v>
      </c>
      <c r="J71" s="88"/>
      <c r="K71" s="47">
        <f>K72+K73</f>
        <v>0</v>
      </c>
      <c r="L71" s="46">
        <f>L72+L73</f>
        <v>1865.9</v>
      </c>
      <c r="M71" s="46">
        <f>M72+M73+M74</f>
        <v>224.7</v>
      </c>
      <c r="N71" s="46">
        <f>N72+N73+N74</f>
        <v>2090.6</v>
      </c>
      <c r="O71" s="94"/>
      <c r="P71" s="94"/>
    </row>
    <row r="72" spans="1:16" ht="66" customHeight="1" x14ac:dyDescent="0.2">
      <c r="A72" s="42"/>
      <c r="B72" s="43" t="s">
        <v>31</v>
      </c>
      <c r="C72" s="44" t="s">
        <v>94</v>
      </c>
      <c r="D72" s="45" t="s">
        <v>32</v>
      </c>
      <c r="E72" s="105"/>
      <c r="F72" s="46">
        <v>1855.9</v>
      </c>
      <c r="G72" s="46">
        <v>224.7</v>
      </c>
      <c r="H72" s="46">
        <f>1855.9+G72</f>
        <v>2080.6</v>
      </c>
      <c r="I72" s="47">
        <v>0</v>
      </c>
      <c r="J72" s="88"/>
      <c r="K72" s="47">
        <v>0</v>
      </c>
      <c r="L72" s="46">
        <v>1855.9</v>
      </c>
      <c r="M72" s="46">
        <f>SUM(G72)</f>
        <v>224.7</v>
      </c>
      <c r="N72" s="46">
        <f>1855.9+M72</f>
        <v>2080.6</v>
      </c>
      <c r="O72" s="94"/>
      <c r="P72" s="94"/>
    </row>
    <row r="73" spans="1:16" ht="31.5" x14ac:dyDescent="0.2">
      <c r="A73" s="42"/>
      <c r="B73" s="43" t="s">
        <v>35</v>
      </c>
      <c r="C73" s="44" t="s">
        <v>94</v>
      </c>
      <c r="D73" s="45" t="s">
        <v>36</v>
      </c>
      <c r="E73" s="105"/>
      <c r="F73" s="46">
        <v>10</v>
      </c>
      <c r="G73" s="46">
        <v>-0.5</v>
      </c>
      <c r="H73" s="46">
        <f>10+G73</f>
        <v>9.5</v>
      </c>
      <c r="I73" s="47">
        <v>0</v>
      </c>
      <c r="J73" s="88"/>
      <c r="K73" s="47">
        <v>0</v>
      </c>
      <c r="L73" s="46">
        <v>10</v>
      </c>
      <c r="M73" s="46">
        <f>SUM(G73)</f>
        <v>-0.5</v>
      </c>
      <c r="N73" s="46">
        <f>10+M73</f>
        <v>9.5</v>
      </c>
      <c r="O73" s="94"/>
      <c r="P73" s="94"/>
    </row>
    <row r="74" spans="1:16" ht="15.75" x14ac:dyDescent="0.2">
      <c r="A74" s="42"/>
      <c r="B74" s="43" t="s">
        <v>41</v>
      </c>
      <c r="C74" s="44" t="s">
        <v>94</v>
      </c>
      <c r="D74" s="45" t="s">
        <v>42</v>
      </c>
      <c r="E74" s="105"/>
      <c r="F74" s="46"/>
      <c r="G74" s="46">
        <v>0.5</v>
      </c>
      <c r="H74" s="46">
        <f>SUM(G74)</f>
        <v>0.5</v>
      </c>
      <c r="I74" s="47"/>
      <c r="J74" s="88"/>
      <c r="K74" s="47"/>
      <c r="L74" s="46"/>
      <c r="M74" s="46">
        <f>SUM(G74)</f>
        <v>0.5</v>
      </c>
      <c r="N74" s="46">
        <f>SUM(M74)</f>
        <v>0.5</v>
      </c>
      <c r="O74" s="94"/>
      <c r="P74" s="94"/>
    </row>
    <row r="75" spans="1:16" ht="31.5" x14ac:dyDescent="0.2">
      <c r="A75" s="19" t="s">
        <v>95</v>
      </c>
      <c r="B75" s="20" t="s">
        <v>96</v>
      </c>
      <c r="C75" s="21" t="s">
        <v>97</v>
      </c>
      <c r="D75" s="22" t="s">
        <v>26</v>
      </c>
      <c r="E75" s="104"/>
      <c r="F75" s="23">
        <f t="shared" ref="F75:N75" si="8">F76+F83</f>
        <v>8816</v>
      </c>
      <c r="G75" s="23">
        <f t="shared" si="8"/>
        <v>-150</v>
      </c>
      <c r="H75" s="23">
        <f t="shared" si="8"/>
        <v>8666</v>
      </c>
      <c r="I75" s="24">
        <f t="shared" si="8"/>
        <v>0</v>
      </c>
      <c r="J75" s="23">
        <f t="shared" si="8"/>
        <v>0</v>
      </c>
      <c r="K75" s="24">
        <f t="shared" si="8"/>
        <v>0</v>
      </c>
      <c r="L75" s="23">
        <f t="shared" si="8"/>
        <v>8816</v>
      </c>
      <c r="M75" s="23">
        <f t="shared" si="8"/>
        <v>-150</v>
      </c>
      <c r="N75" s="23">
        <f t="shared" si="8"/>
        <v>8666</v>
      </c>
      <c r="O75" s="93"/>
      <c r="P75" s="93"/>
    </row>
    <row r="76" spans="1:16" ht="31.5" x14ac:dyDescent="0.2">
      <c r="A76" s="49"/>
      <c r="B76" s="50" t="s">
        <v>98</v>
      </c>
      <c r="C76" s="51" t="s">
        <v>99</v>
      </c>
      <c r="D76" s="52" t="s">
        <v>26</v>
      </c>
      <c r="E76" s="106"/>
      <c r="F76" s="53">
        <f t="shared" ref="F76:N76" si="9">F77+F80</f>
        <v>8536</v>
      </c>
      <c r="G76" s="53">
        <f t="shared" si="9"/>
        <v>-150</v>
      </c>
      <c r="H76" s="53">
        <f t="shared" si="9"/>
        <v>8386</v>
      </c>
      <c r="I76" s="54">
        <f t="shared" si="9"/>
        <v>0</v>
      </c>
      <c r="J76" s="53">
        <f t="shared" si="9"/>
        <v>0</v>
      </c>
      <c r="K76" s="54">
        <f t="shared" si="9"/>
        <v>0</v>
      </c>
      <c r="L76" s="53">
        <f t="shared" si="9"/>
        <v>8536</v>
      </c>
      <c r="M76" s="53">
        <f t="shared" si="9"/>
        <v>-150</v>
      </c>
      <c r="N76" s="53">
        <f t="shared" si="9"/>
        <v>8386</v>
      </c>
      <c r="O76" s="95"/>
      <c r="P76" s="95"/>
    </row>
    <row r="77" spans="1:16" ht="31.5" x14ac:dyDescent="0.2">
      <c r="A77" s="42"/>
      <c r="B77" s="43" t="s">
        <v>100</v>
      </c>
      <c r="C77" s="44" t="s">
        <v>101</v>
      </c>
      <c r="D77" s="45" t="s">
        <v>26</v>
      </c>
      <c r="E77" s="105"/>
      <c r="F77" s="46">
        <f t="shared" ref="F77:N78" si="10">F78</f>
        <v>4496</v>
      </c>
      <c r="G77" s="46">
        <f t="shared" si="10"/>
        <v>-150</v>
      </c>
      <c r="H77" s="46">
        <f t="shared" si="10"/>
        <v>4346</v>
      </c>
      <c r="I77" s="47">
        <f t="shared" si="10"/>
        <v>0</v>
      </c>
      <c r="J77" s="88"/>
      <c r="K77" s="47">
        <f t="shared" si="10"/>
        <v>0</v>
      </c>
      <c r="L77" s="46">
        <f t="shared" si="10"/>
        <v>4496</v>
      </c>
      <c r="M77" s="46">
        <f t="shared" si="10"/>
        <v>-150</v>
      </c>
      <c r="N77" s="46">
        <f t="shared" si="10"/>
        <v>4346</v>
      </c>
      <c r="O77" s="94"/>
      <c r="P77" s="94"/>
    </row>
    <row r="78" spans="1:16" ht="15.75" x14ac:dyDescent="0.2">
      <c r="A78" s="42"/>
      <c r="B78" s="43" t="s">
        <v>102</v>
      </c>
      <c r="C78" s="44" t="s">
        <v>103</v>
      </c>
      <c r="D78" s="45" t="s">
        <v>26</v>
      </c>
      <c r="E78" s="105"/>
      <c r="F78" s="46">
        <f t="shared" si="10"/>
        <v>4496</v>
      </c>
      <c r="G78" s="46">
        <f t="shared" si="10"/>
        <v>-150</v>
      </c>
      <c r="H78" s="46">
        <f t="shared" si="10"/>
        <v>4346</v>
      </c>
      <c r="I78" s="47">
        <f t="shared" si="10"/>
        <v>0</v>
      </c>
      <c r="J78" s="88"/>
      <c r="K78" s="47">
        <f t="shared" si="10"/>
        <v>0</v>
      </c>
      <c r="L78" s="46">
        <f t="shared" si="10"/>
        <v>4496</v>
      </c>
      <c r="M78" s="46">
        <f t="shared" si="10"/>
        <v>-150</v>
      </c>
      <c r="N78" s="46">
        <f t="shared" si="10"/>
        <v>4346</v>
      </c>
      <c r="O78" s="94"/>
      <c r="P78" s="94"/>
    </row>
    <row r="79" spans="1:16" ht="15.75" x14ac:dyDescent="0.2">
      <c r="A79" s="42"/>
      <c r="B79" s="43" t="s">
        <v>54</v>
      </c>
      <c r="C79" s="44" t="s">
        <v>103</v>
      </c>
      <c r="D79" s="45" t="s">
        <v>55</v>
      </c>
      <c r="E79" s="105"/>
      <c r="F79" s="46">
        <v>4496</v>
      </c>
      <c r="G79" s="46">
        <v>-150</v>
      </c>
      <c r="H79" s="46">
        <f>4496+G79</f>
        <v>4346</v>
      </c>
      <c r="I79" s="47">
        <v>0</v>
      </c>
      <c r="J79" s="88"/>
      <c r="K79" s="47">
        <v>0</v>
      </c>
      <c r="L79" s="46">
        <v>4496</v>
      </c>
      <c r="M79" s="46">
        <f>SUM(G79)</f>
        <v>-150</v>
      </c>
      <c r="N79" s="46">
        <f>4496+M79</f>
        <v>4346</v>
      </c>
      <c r="O79" s="94"/>
      <c r="P79" s="94"/>
    </row>
    <row r="80" spans="1:16" ht="36" customHeight="1" x14ac:dyDescent="0.2">
      <c r="A80" s="42"/>
      <c r="B80" s="43" t="s">
        <v>104</v>
      </c>
      <c r="C80" s="44" t="s">
        <v>105</v>
      </c>
      <c r="D80" s="45" t="s">
        <v>26</v>
      </c>
      <c r="E80" s="105"/>
      <c r="F80" s="46">
        <f t="shared" ref="F80:N81" si="11">F81</f>
        <v>4040</v>
      </c>
      <c r="G80" s="46">
        <f t="shared" si="11"/>
        <v>0</v>
      </c>
      <c r="H80" s="46">
        <f t="shared" si="11"/>
        <v>4040</v>
      </c>
      <c r="I80" s="47">
        <f t="shared" si="11"/>
        <v>0</v>
      </c>
      <c r="J80" s="88"/>
      <c r="K80" s="47">
        <f t="shared" si="11"/>
        <v>0</v>
      </c>
      <c r="L80" s="46">
        <f t="shared" si="11"/>
        <v>4040</v>
      </c>
      <c r="M80" s="46">
        <f t="shared" si="11"/>
        <v>0</v>
      </c>
      <c r="N80" s="46">
        <f t="shared" si="11"/>
        <v>4040</v>
      </c>
      <c r="O80" s="94"/>
      <c r="P80" s="94"/>
    </row>
    <row r="81" spans="1:17" ht="31.5" x14ac:dyDescent="0.2">
      <c r="A81" s="42"/>
      <c r="B81" s="43" t="s">
        <v>106</v>
      </c>
      <c r="C81" s="44" t="s">
        <v>107</v>
      </c>
      <c r="D81" s="45" t="s">
        <v>26</v>
      </c>
      <c r="E81" s="105"/>
      <c r="F81" s="46">
        <f t="shared" si="11"/>
        <v>4040</v>
      </c>
      <c r="G81" s="46">
        <f t="shared" si="11"/>
        <v>0</v>
      </c>
      <c r="H81" s="46">
        <f t="shared" si="11"/>
        <v>4040</v>
      </c>
      <c r="I81" s="47">
        <f t="shared" si="11"/>
        <v>0</v>
      </c>
      <c r="J81" s="88"/>
      <c r="K81" s="47">
        <f t="shared" si="11"/>
        <v>0</v>
      </c>
      <c r="L81" s="46">
        <f t="shared" si="11"/>
        <v>4040</v>
      </c>
      <c r="M81" s="46">
        <f t="shared" si="11"/>
        <v>0</v>
      </c>
      <c r="N81" s="46">
        <f t="shared" si="11"/>
        <v>4040</v>
      </c>
      <c r="O81" s="94"/>
      <c r="P81" s="94"/>
    </row>
    <row r="82" spans="1:17" ht="15.75" x14ac:dyDescent="0.2">
      <c r="A82" s="42"/>
      <c r="B82" s="43" t="s">
        <v>54</v>
      </c>
      <c r="C82" s="44" t="s">
        <v>107</v>
      </c>
      <c r="D82" s="45" t="s">
        <v>55</v>
      </c>
      <c r="E82" s="105"/>
      <c r="F82" s="46">
        <v>4040</v>
      </c>
      <c r="G82" s="46"/>
      <c r="H82" s="46">
        <v>4040</v>
      </c>
      <c r="I82" s="47">
        <v>0</v>
      </c>
      <c r="J82" s="88"/>
      <c r="K82" s="47">
        <v>0</v>
      </c>
      <c r="L82" s="46">
        <v>4040</v>
      </c>
      <c r="M82" s="46"/>
      <c r="N82" s="46">
        <v>4040</v>
      </c>
      <c r="O82" s="94"/>
      <c r="P82" s="94"/>
    </row>
    <row r="83" spans="1:17" ht="37.9" customHeight="1" x14ac:dyDescent="0.2">
      <c r="A83" s="49"/>
      <c r="B83" s="50" t="s">
        <v>108</v>
      </c>
      <c r="C83" s="51" t="s">
        <v>109</v>
      </c>
      <c r="D83" s="52" t="s">
        <v>26</v>
      </c>
      <c r="E83" s="106"/>
      <c r="F83" s="53">
        <f t="shared" ref="F83:N85" si="12">F84</f>
        <v>280</v>
      </c>
      <c r="G83" s="53">
        <f t="shared" si="12"/>
        <v>0</v>
      </c>
      <c r="H83" s="53">
        <f t="shared" si="12"/>
        <v>280</v>
      </c>
      <c r="I83" s="54">
        <f t="shared" si="12"/>
        <v>0</v>
      </c>
      <c r="J83" s="53">
        <f>J84</f>
        <v>0</v>
      </c>
      <c r="K83" s="54">
        <f t="shared" si="12"/>
        <v>0</v>
      </c>
      <c r="L83" s="53">
        <f t="shared" si="12"/>
        <v>280</v>
      </c>
      <c r="M83" s="53">
        <f t="shared" si="12"/>
        <v>0</v>
      </c>
      <c r="N83" s="53">
        <f t="shared" si="12"/>
        <v>280</v>
      </c>
      <c r="O83" s="95"/>
      <c r="P83" s="95"/>
    </row>
    <row r="84" spans="1:17" ht="64.150000000000006" customHeight="1" x14ac:dyDescent="0.2">
      <c r="A84" s="42"/>
      <c r="B84" s="43" t="s">
        <v>110</v>
      </c>
      <c r="C84" s="44" t="s">
        <v>111</v>
      </c>
      <c r="D84" s="45" t="s">
        <v>26</v>
      </c>
      <c r="E84" s="105"/>
      <c r="F84" s="46">
        <f t="shared" si="12"/>
        <v>280</v>
      </c>
      <c r="G84" s="46">
        <f t="shared" si="12"/>
        <v>0</v>
      </c>
      <c r="H84" s="46">
        <f t="shared" si="12"/>
        <v>280</v>
      </c>
      <c r="I84" s="47">
        <f t="shared" si="12"/>
        <v>0</v>
      </c>
      <c r="J84" s="88"/>
      <c r="K84" s="47">
        <f t="shared" si="12"/>
        <v>0</v>
      </c>
      <c r="L84" s="46">
        <f t="shared" si="12"/>
        <v>280</v>
      </c>
      <c r="M84" s="46">
        <f t="shared" si="12"/>
        <v>0</v>
      </c>
      <c r="N84" s="46">
        <f t="shared" si="12"/>
        <v>280</v>
      </c>
      <c r="O84" s="94"/>
      <c r="P84" s="94"/>
    </row>
    <row r="85" spans="1:17" ht="36.6" customHeight="1" x14ac:dyDescent="0.2">
      <c r="A85" s="42"/>
      <c r="B85" s="43" t="s">
        <v>112</v>
      </c>
      <c r="C85" s="44" t="s">
        <v>113</v>
      </c>
      <c r="D85" s="45" t="s">
        <v>26</v>
      </c>
      <c r="E85" s="105"/>
      <c r="F85" s="46">
        <f t="shared" si="12"/>
        <v>280</v>
      </c>
      <c r="G85" s="46">
        <f t="shared" si="12"/>
        <v>0</v>
      </c>
      <c r="H85" s="46">
        <f t="shared" si="12"/>
        <v>280</v>
      </c>
      <c r="I85" s="47">
        <f t="shared" si="12"/>
        <v>0</v>
      </c>
      <c r="J85" s="88"/>
      <c r="K85" s="47">
        <f t="shared" si="12"/>
        <v>0</v>
      </c>
      <c r="L85" s="46">
        <f t="shared" si="12"/>
        <v>280</v>
      </c>
      <c r="M85" s="46">
        <f t="shared" si="12"/>
        <v>0</v>
      </c>
      <c r="N85" s="46">
        <f t="shared" si="12"/>
        <v>280</v>
      </c>
      <c r="O85" s="94"/>
      <c r="P85" s="94"/>
    </row>
    <row r="86" spans="1:17" ht="31.5" x14ac:dyDescent="0.2">
      <c r="A86" s="42"/>
      <c r="B86" s="43" t="s">
        <v>74</v>
      </c>
      <c r="C86" s="44" t="s">
        <v>113</v>
      </c>
      <c r="D86" s="45" t="s">
        <v>75</v>
      </c>
      <c r="E86" s="105"/>
      <c r="F86" s="46">
        <v>280</v>
      </c>
      <c r="G86" s="46"/>
      <c r="H86" s="46">
        <v>280</v>
      </c>
      <c r="I86" s="47">
        <v>0</v>
      </c>
      <c r="J86" s="88"/>
      <c r="K86" s="47">
        <v>0</v>
      </c>
      <c r="L86" s="46">
        <v>280</v>
      </c>
      <c r="M86" s="46"/>
      <c r="N86" s="46">
        <v>280</v>
      </c>
      <c r="O86" s="94"/>
      <c r="P86" s="94"/>
    </row>
    <row r="87" spans="1:17" ht="47.25" x14ac:dyDescent="0.2">
      <c r="A87" s="19" t="s">
        <v>114</v>
      </c>
      <c r="B87" s="20" t="s">
        <v>115</v>
      </c>
      <c r="C87" s="21" t="s">
        <v>116</v>
      </c>
      <c r="D87" s="22" t="s">
        <v>26</v>
      </c>
      <c r="E87" s="104"/>
      <c r="F87" s="23">
        <f t="shared" ref="F87:M87" si="13">F88+F98+F110</f>
        <v>44242.8</v>
      </c>
      <c r="G87" s="23">
        <f t="shared" si="13"/>
        <v>-7194.6</v>
      </c>
      <c r="H87" s="23">
        <f t="shared" si="13"/>
        <v>37048.199999999997</v>
      </c>
      <c r="I87" s="24">
        <f t="shared" si="13"/>
        <v>57252.9</v>
      </c>
      <c r="J87" s="23">
        <f t="shared" si="13"/>
        <v>0</v>
      </c>
      <c r="K87" s="24">
        <f t="shared" si="13"/>
        <v>57252.9</v>
      </c>
      <c r="L87" s="23">
        <f t="shared" si="13"/>
        <v>101495.7</v>
      </c>
      <c r="M87" s="23">
        <f t="shared" si="13"/>
        <v>-7194.6</v>
      </c>
      <c r="N87" s="23">
        <f>SUM(N88+N98+N110)</f>
        <v>94301.1</v>
      </c>
      <c r="O87" s="93"/>
      <c r="P87" s="93"/>
      <c r="Q87" s="25"/>
    </row>
    <row r="88" spans="1:17" ht="33.6" customHeight="1" x14ac:dyDescent="0.2">
      <c r="A88" s="49"/>
      <c r="B88" s="50" t="s">
        <v>117</v>
      </c>
      <c r="C88" s="51" t="s">
        <v>118</v>
      </c>
      <c r="D88" s="52" t="s">
        <v>26</v>
      </c>
      <c r="E88" s="106"/>
      <c r="F88" s="53">
        <f t="shared" ref="F88:N88" si="14">F89</f>
        <v>1449.1000000000001</v>
      </c>
      <c r="G88" s="53">
        <f t="shared" si="14"/>
        <v>0</v>
      </c>
      <c r="H88" s="53">
        <f t="shared" si="14"/>
        <v>1449.1000000000001</v>
      </c>
      <c r="I88" s="54">
        <f t="shared" si="14"/>
        <v>13560.400000000001</v>
      </c>
      <c r="J88" s="53">
        <f t="shared" si="14"/>
        <v>0</v>
      </c>
      <c r="K88" s="54">
        <f t="shared" si="14"/>
        <v>13560.400000000001</v>
      </c>
      <c r="L88" s="53">
        <f t="shared" si="14"/>
        <v>15009.5</v>
      </c>
      <c r="M88" s="53">
        <f t="shared" si="14"/>
        <v>0</v>
      </c>
      <c r="N88" s="53">
        <f t="shared" si="14"/>
        <v>15009.5</v>
      </c>
      <c r="O88" s="95"/>
      <c r="P88" s="95"/>
    </row>
    <row r="89" spans="1:17" ht="47.25" x14ac:dyDescent="0.2">
      <c r="A89" s="42"/>
      <c r="B89" s="43" t="s">
        <v>119</v>
      </c>
      <c r="C89" s="44" t="s">
        <v>120</v>
      </c>
      <c r="D89" s="45" t="s">
        <v>26</v>
      </c>
      <c r="E89" s="105"/>
      <c r="F89" s="46">
        <f>F96+F90+F92+F94</f>
        <v>1449.1000000000001</v>
      </c>
      <c r="G89" s="46">
        <f>G96+G90+G92+G94</f>
        <v>0</v>
      </c>
      <c r="H89" s="46">
        <f>H96+H90+H92+H94</f>
        <v>1449.1000000000001</v>
      </c>
      <c r="I89" s="47">
        <f>I96+I92+I94</f>
        <v>13560.400000000001</v>
      </c>
      <c r="J89" s="46">
        <f>J96+J90+J92</f>
        <v>0</v>
      </c>
      <c r="K89" s="47">
        <f>K96+K92+K94</f>
        <v>13560.400000000001</v>
      </c>
      <c r="L89" s="46">
        <f>L96+L90+L92+L94</f>
        <v>15009.5</v>
      </c>
      <c r="M89" s="46">
        <f>M96+M90+M92+M94</f>
        <v>0</v>
      </c>
      <c r="N89" s="46">
        <f>N96+N90+N92+N94</f>
        <v>15009.5</v>
      </c>
      <c r="O89" s="94"/>
      <c r="P89" s="94"/>
    </row>
    <row r="90" spans="1:17" ht="31.5" x14ac:dyDescent="0.2">
      <c r="A90" s="42"/>
      <c r="B90" s="123" t="s">
        <v>121</v>
      </c>
      <c r="C90" s="44" t="s">
        <v>122</v>
      </c>
      <c r="D90" s="45"/>
      <c r="E90" s="105"/>
      <c r="F90" s="46">
        <v>735.3</v>
      </c>
      <c r="G90" s="46"/>
      <c r="H90" s="46">
        <f>SUM(F90)</f>
        <v>735.3</v>
      </c>
      <c r="I90" s="47"/>
      <c r="J90" s="88"/>
      <c r="K90" s="47"/>
      <c r="L90" s="46">
        <f t="shared" ref="L90:N91" si="15">SUM(F90)</f>
        <v>735.3</v>
      </c>
      <c r="M90" s="46">
        <f t="shared" si="15"/>
        <v>0</v>
      </c>
      <c r="N90" s="46">
        <f t="shared" si="15"/>
        <v>735.3</v>
      </c>
      <c r="O90" s="94"/>
      <c r="P90" s="94"/>
    </row>
    <row r="91" spans="1:17" ht="31.5" x14ac:dyDescent="0.2">
      <c r="A91" s="42"/>
      <c r="B91" s="43" t="s">
        <v>35</v>
      </c>
      <c r="C91" s="44" t="s">
        <v>122</v>
      </c>
      <c r="D91" s="45" t="s">
        <v>36</v>
      </c>
      <c r="E91" s="105"/>
      <c r="F91" s="46">
        <v>735.3</v>
      </c>
      <c r="G91" s="46"/>
      <c r="H91" s="46">
        <f>SUM(F91)</f>
        <v>735.3</v>
      </c>
      <c r="I91" s="47"/>
      <c r="J91" s="88"/>
      <c r="K91" s="47"/>
      <c r="L91" s="46">
        <f t="shared" si="15"/>
        <v>735.3</v>
      </c>
      <c r="M91" s="46">
        <f t="shared" si="15"/>
        <v>0</v>
      </c>
      <c r="N91" s="46">
        <f t="shared" si="15"/>
        <v>735.3</v>
      </c>
      <c r="O91" s="94"/>
      <c r="P91" s="94"/>
    </row>
    <row r="92" spans="1:17" ht="63" x14ac:dyDescent="0.2">
      <c r="A92" s="42"/>
      <c r="B92" s="122" t="s">
        <v>450</v>
      </c>
      <c r="C92" s="44" t="s">
        <v>449</v>
      </c>
      <c r="D92" s="45"/>
      <c r="E92" s="105"/>
      <c r="F92" s="46">
        <f>SUM(F93)</f>
        <v>0</v>
      </c>
      <c r="G92" s="46"/>
      <c r="H92" s="46">
        <f>SUM(F92+G92)</f>
        <v>0</v>
      </c>
      <c r="I92" s="47">
        <f>SUM(I93)</f>
        <v>0</v>
      </c>
      <c r="J92" s="88"/>
      <c r="K92" s="47">
        <f>SUM(K93)</f>
        <v>0</v>
      </c>
      <c r="L92" s="46">
        <f>SUM(F92+I92)</f>
        <v>0</v>
      </c>
      <c r="M92" s="46">
        <f t="shared" ref="M92:N95" si="16">SUM(G92)+J92</f>
        <v>0</v>
      </c>
      <c r="N92" s="46">
        <f t="shared" si="16"/>
        <v>0</v>
      </c>
      <c r="O92" s="94"/>
      <c r="P92" s="94"/>
    </row>
    <row r="93" spans="1:17" ht="31.5" x14ac:dyDescent="0.2">
      <c r="A93" s="42"/>
      <c r="B93" s="43" t="s">
        <v>35</v>
      </c>
      <c r="C93" s="44" t="s">
        <v>449</v>
      </c>
      <c r="D93" s="45" t="s">
        <v>36</v>
      </c>
      <c r="E93" s="105"/>
      <c r="F93" s="46">
        <v>0</v>
      </c>
      <c r="G93" s="46"/>
      <c r="H93" s="46">
        <f>SUM(F93+G93)</f>
        <v>0</v>
      </c>
      <c r="I93" s="47">
        <v>0</v>
      </c>
      <c r="J93" s="88"/>
      <c r="K93" s="47">
        <v>0</v>
      </c>
      <c r="L93" s="46">
        <f>SUM(F93+I93)</f>
        <v>0</v>
      </c>
      <c r="M93" s="46">
        <f t="shared" si="16"/>
        <v>0</v>
      </c>
      <c r="N93" s="46">
        <f t="shared" si="16"/>
        <v>0</v>
      </c>
      <c r="O93" s="94"/>
      <c r="P93" s="94"/>
    </row>
    <row r="94" spans="1:17" ht="63" x14ac:dyDescent="0.2">
      <c r="A94" s="42"/>
      <c r="B94" s="122" t="s">
        <v>450</v>
      </c>
      <c r="C94" s="125" t="s">
        <v>459</v>
      </c>
      <c r="D94" s="45"/>
      <c r="E94" s="105"/>
      <c r="F94" s="46">
        <f>SUM(F95)</f>
        <v>294.2</v>
      </c>
      <c r="G94" s="46"/>
      <c r="H94" s="46">
        <f>SUM(H95)</f>
        <v>294.2</v>
      </c>
      <c r="I94" s="47">
        <v>5589.3</v>
      </c>
      <c r="J94" s="88"/>
      <c r="K94" s="88">
        <v>5589.3</v>
      </c>
      <c r="L94" s="46">
        <f>SUM(F94+I94)</f>
        <v>5883.5</v>
      </c>
      <c r="M94" s="46">
        <f t="shared" si="16"/>
        <v>0</v>
      </c>
      <c r="N94" s="46">
        <f>SUM(H94+K94)</f>
        <v>5883.5</v>
      </c>
      <c r="O94" s="94"/>
      <c r="P94" s="94"/>
    </row>
    <row r="95" spans="1:17" ht="31.5" x14ac:dyDescent="0.2">
      <c r="A95" s="42"/>
      <c r="B95" s="43" t="s">
        <v>35</v>
      </c>
      <c r="C95" s="125" t="s">
        <v>459</v>
      </c>
      <c r="D95" s="45" t="s">
        <v>36</v>
      </c>
      <c r="E95" s="105"/>
      <c r="F95" s="46">
        <v>294.2</v>
      </c>
      <c r="G95" s="46"/>
      <c r="H95" s="46">
        <v>294.2</v>
      </c>
      <c r="I95" s="47">
        <v>5589.3</v>
      </c>
      <c r="J95" s="88"/>
      <c r="K95" s="88">
        <v>5589.3</v>
      </c>
      <c r="L95" s="46">
        <f>SUM(F95+I95)</f>
        <v>5883.5</v>
      </c>
      <c r="M95" s="46">
        <f t="shared" si="16"/>
        <v>0</v>
      </c>
      <c r="N95" s="46">
        <f t="shared" si="16"/>
        <v>5883.5</v>
      </c>
      <c r="O95" s="94"/>
      <c r="P95" s="94"/>
    </row>
    <row r="96" spans="1:17" ht="36.6" customHeight="1" x14ac:dyDescent="0.2">
      <c r="A96" s="42"/>
      <c r="B96" s="43" t="s">
        <v>123</v>
      </c>
      <c r="C96" s="44" t="s">
        <v>124</v>
      </c>
      <c r="D96" s="45" t="s">
        <v>26</v>
      </c>
      <c r="E96" s="105"/>
      <c r="F96" s="46">
        <f t="shared" ref="F96:N96" si="17">F97</f>
        <v>419.6</v>
      </c>
      <c r="G96" s="46">
        <f t="shared" si="17"/>
        <v>0</v>
      </c>
      <c r="H96" s="46">
        <f t="shared" si="17"/>
        <v>419.6</v>
      </c>
      <c r="I96" s="47">
        <f t="shared" si="17"/>
        <v>7971.1</v>
      </c>
      <c r="J96" s="47">
        <f t="shared" si="17"/>
        <v>0</v>
      </c>
      <c r="K96" s="47">
        <f t="shared" si="17"/>
        <v>7971.1</v>
      </c>
      <c r="L96" s="46">
        <f t="shared" si="17"/>
        <v>8390.7000000000007</v>
      </c>
      <c r="M96" s="46">
        <f t="shared" si="17"/>
        <v>0</v>
      </c>
      <c r="N96" s="46">
        <f t="shared" si="17"/>
        <v>8390.7000000000007</v>
      </c>
      <c r="O96" s="94"/>
      <c r="P96" s="94"/>
    </row>
    <row r="97" spans="1:17" ht="31.5" x14ac:dyDescent="0.2">
      <c r="A97" s="42"/>
      <c r="B97" s="43" t="s">
        <v>35</v>
      </c>
      <c r="C97" s="44" t="s">
        <v>124</v>
      </c>
      <c r="D97" s="45" t="s">
        <v>36</v>
      </c>
      <c r="E97" s="105"/>
      <c r="F97" s="46">
        <v>419.6</v>
      </c>
      <c r="G97" s="46"/>
      <c r="H97" s="46">
        <f>419.6+G97</f>
        <v>419.6</v>
      </c>
      <c r="I97" s="47">
        <v>7971.1</v>
      </c>
      <c r="J97" s="88"/>
      <c r="K97" s="47">
        <f>7971.1+J97</f>
        <v>7971.1</v>
      </c>
      <c r="L97" s="46">
        <f>419.6+I97</f>
        <v>8390.7000000000007</v>
      </c>
      <c r="M97" s="46">
        <f>SUM(J97)</f>
        <v>0</v>
      </c>
      <c r="N97" s="46">
        <f>419.6+K97</f>
        <v>8390.7000000000007</v>
      </c>
      <c r="O97" s="94"/>
      <c r="P97" s="94"/>
    </row>
    <row r="98" spans="1:17" ht="35.450000000000003" customHeight="1" x14ac:dyDescent="0.2">
      <c r="A98" s="49"/>
      <c r="B98" s="50" t="s">
        <v>125</v>
      </c>
      <c r="C98" s="51" t="s">
        <v>126</v>
      </c>
      <c r="D98" s="52" t="s">
        <v>26</v>
      </c>
      <c r="E98" s="106"/>
      <c r="F98" s="53">
        <f t="shared" ref="F98:N98" si="18">F99+F107</f>
        <v>26691.7</v>
      </c>
      <c r="G98" s="53">
        <f>G99+G107</f>
        <v>-9418.1</v>
      </c>
      <c r="H98" s="53">
        <f>H99+H107</f>
        <v>17273.599999999999</v>
      </c>
      <c r="I98" s="54">
        <f t="shared" si="18"/>
        <v>43692.5</v>
      </c>
      <c r="J98" s="53">
        <f t="shared" si="18"/>
        <v>0</v>
      </c>
      <c r="K98" s="54">
        <f t="shared" si="18"/>
        <v>43692.5</v>
      </c>
      <c r="L98" s="53">
        <f t="shared" si="18"/>
        <v>70384.2</v>
      </c>
      <c r="M98" s="53">
        <f t="shared" si="18"/>
        <v>-9418.1</v>
      </c>
      <c r="N98" s="53">
        <f t="shared" si="18"/>
        <v>60966.1</v>
      </c>
      <c r="O98" s="95"/>
      <c r="P98" s="95"/>
    </row>
    <row r="99" spans="1:17" ht="31.5" x14ac:dyDescent="0.2">
      <c r="A99" s="42"/>
      <c r="B99" s="43" t="s">
        <v>127</v>
      </c>
      <c r="C99" s="44" t="s">
        <v>128</v>
      </c>
      <c r="D99" s="45" t="s">
        <v>26</v>
      </c>
      <c r="E99" s="105"/>
      <c r="F99" s="47">
        <f>F100+F105+F103</f>
        <v>20581.7</v>
      </c>
      <c r="G99" s="47">
        <f t="shared" ref="G99:N99" si="19">G100+G105+G103</f>
        <v>-10141.1</v>
      </c>
      <c r="H99" s="47">
        <f t="shared" si="19"/>
        <v>10440.6</v>
      </c>
      <c r="I99" s="47">
        <f t="shared" si="19"/>
        <v>43692.5</v>
      </c>
      <c r="J99" s="47">
        <f t="shared" si="19"/>
        <v>0</v>
      </c>
      <c r="K99" s="47">
        <f t="shared" si="19"/>
        <v>43692.5</v>
      </c>
      <c r="L99" s="47">
        <f t="shared" si="19"/>
        <v>64274.2</v>
      </c>
      <c r="M99" s="47">
        <f t="shared" si="19"/>
        <v>-10141.1</v>
      </c>
      <c r="N99" s="47">
        <f t="shared" si="19"/>
        <v>54133.1</v>
      </c>
      <c r="O99" s="94"/>
      <c r="P99" s="94"/>
    </row>
    <row r="100" spans="1:17" ht="49.15" customHeight="1" x14ac:dyDescent="0.2">
      <c r="A100" s="42"/>
      <c r="B100" s="43" t="s">
        <v>129</v>
      </c>
      <c r="C100" s="44" t="s">
        <v>130</v>
      </c>
      <c r="D100" s="45" t="s">
        <v>26</v>
      </c>
      <c r="E100" s="105"/>
      <c r="F100" s="46">
        <f>F101+F102</f>
        <v>20281.7</v>
      </c>
      <c r="G100" s="46">
        <f>G101+G102</f>
        <v>-10141.1</v>
      </c>
      <c r="H100" s="46">
        <f>H101+H102</f>
        <v>10140.6</v>
      </c>
      <c r="I100" s="47">
        <f>I101+I102</f>
        <v>17036</v>
      </c>
      <c r="J100" s="88">
        <f>SUM(J101+J102)</f>
        <v>0</v>
      </c>
      <c r="K100" s="47">
        <f>K101+K102</f>
        <v>17036</v>
      </c>
      <c r="L100" s="46">
        <f>L101+L102</f>
        <v>37317.699999999997</v>
      </c>
      <c r="M100" s="46">
        <f>M101+M102</f>
        <v>-10141.1</v>
      </c>
      <c r="N100" s="46">
        <f>N101+N102</f>
        <v>27176.6</v>
      </c>
      <c r="O100" s="94"/>
      <c r="P100" s="94"/>
    </row>
    <row r="101" spans="1:17" ht="31.5" x14ac:dyDescent="0.2">
      <c r="A101" s="42"/>
      <c r="B101" s="43" t="s">
        <v>35</v>
      </c>
      <c r="C101" s="44" t="s">
        <v>130</v>
      </c>
      <c r="D101" s="45" t="s">
        <v>36</v>
      </c>
      <c r="E101" s="105"/>
      <c r="F101" s="56">
        <v>19141.5</v>
      </c>
      <c r="G101" s="56">
        <f>-9763.1-378</f>
        <v>-10141.1</v>
      </c>
      <c r="H101" s="56">
        <f>SUM(F101)+G101</f>
        <v>9000.4</v>
      </c>
      <c r="I101" s="47">
        <v>0</v>
      </c>
      <c r="J101" s="111">
        <f>26656.5-26656.5</f>
        <v>0</v>
      </c>
      <c r="K101" s="111">
        <f>SUM(J101)</f>
        <v>0</v>
      </c>
      <c r="L101" s="56">
        <f>SUM(F101)</f>
        <v>19141.5</v>
      </c>
      <c r="M101" s="56">
        <f>SUM(J101)+G101</f>
        <v>-10141.1</v>
      </c>
      <c r="N101" s="56">
        <f>SUM(H101)</f>
        <v>9000.4</v>
      </c>
      <c r="O101" s="94"/>
      <c r="P101" s="94"/>
    </row>
    <row r="102" spans="1:17" ht="31.5" x14ac:dyDescent="0.2">
      <c r="A102" s="42"/>
      <c r="B102" s="43" t="s">
        <v>131</v>
      </c>
      <c r="C102" s="44" t="s">
        <v>130</v>
      </c>
      <c r="D102" s="45" t="s">
        <v>132</v>
      </c>
      <c r="E102" s="105"/>
      <c r="F102" s="56">
        <v>1140.2</v>
      </c>
      <c r="G102" s="56"/>
      <c r="H102" s="56">
        <f>SUM(F102:G102)</f>
        <v>1140.2</v>
      </c>
      <c r="I102" s="47">
        <v>17036</v>
      </c>
      <c r="J102" s="46"/>
      <c r="K102" s="111">
        <f>SUM(I102)</f>
        <v>17036</v>
      </c>
      <c r="L102" s="56">
        <f>SUM(F102+I102)</f>
        <v>18176.2</v>
      </c>
      <c r="M102" s="56">
        <f>SUM(J102)+G102</f>
        <v>0</v>
      </c>
      <c r="N102" s="56">
        <f>SUM(H102+K102)</f>
        <v>18176.2</v>
      </c>
      <c r="O102" s="94"/>
      <c r="P102" s="94"/>
    </row>
    <row r="103" spans="1:17" ht="94.5" x14ac:dyDescent="0.2">
      <c r="A103" s="42"/>
      <c r="B103" s="43" t="s">
        <v>133</v>
      </c>
      <c r="C103" s="44" t="s">
        <v>134</v>
      </c>
      <c r="D103" s="45"/>
      <c r="E103" s="105"/>
      <c r="F103" s="132">
        <f>F104</f>
        <v>0</v>
      </c>
      <c r="G103" s="132">
        <f t="shared" ref="G103:N103" si="20">G104</f>
        <v>0</v>
      </c>
      <c r="H103" s="132">
        <f t="shared" si="20"/>
        <v>0</v>
      </c>
      <c r="I103" s="132">
        <f t="shared" si="20"/>
        <v>26656.5</v>
      </c>
      <c r="J103" s="132">
        <f t="shared" si="20"/>
        <v>0</v>
      </c>
      <c r="K103" s="132">
        <f t="shared" si="20"/>
        <v>26656.5</v>
      </c>
      <c r="L103" s="132">
        <f t="shared" si="20"/>
        <v>26656.5</v>
      </c>
      <c r="M103" s="132">
        <f t="shared" si="20"/>
        <v>0</v>
      </c>
      <c r="N103" s="132">
        <f t="shared" si="20"/>
        <v>26656.5</v>
      </c>
      <c r="O103" s="94"/>
      <c r="P103" s="94"/>
    </row>
    <row r="104" spans="1:17" ht="34.15" customHeight="1" x14ac:dyDescent="0.2">
      <c r="A104" s="42"/>
      <c r="B104" s="43" t="s">
        <v>35</v>
      </c>
      <c r="C104" s="44" t="s">
        <v>134</v>
      </c>
      <c r="D104" s="45" t="s">
        <v>36</v>
      </c>
      <c r="E104" s="105"/>
      <c r="F104" s="56"/>
      <c r="G104" s="56"/>
      <c r="H104" s="56"/>
      <c r="I104" s="47">
        <v>26656.5</v>
      </c>
      <c r="J104" s="88"/>
      <c r="K104" s="111">
        <f>SUM(I104:J104)</f>
        <v>26656.5</v>
      </c>
      <c r="L104" s="56">
        <f>F104+I104</f>
        <v>26656.5</v>
      </c>
      <c r="M104" s="56">
        <f>G104+J104</f>
        <v>0</v>
      </c>
      <c r="N104" s="56">
        <f>H104+K104</f>
        <v>26656.5</v>
      </c>
      <c r="O104" s="94"/>
      <c r="P104" s="94"/>
    </row>
    <row r="105" spans="1:17" ht="63" x14ac:dyDescent="0.2">
      <c r="A105" s="42"/>
      <c r="B105" s="43" t="s">
        <v>135</v>
      </c>
      <c r="C105" s="44" t="s">
        <v>136</v>
      </c>
      <c r="D105" s="45" t="s">
        <v>26</v>
      </c>
      <c r="E105" s="105"/>
      <c r="F105" s="46">
        <f>F106</f>
        <v>300</v>
      </c>
      <c r="G105" s="46">
        <f>G106</f>
        <v>0</v>
      </c>
      <c r="H105" s="46">
        <f>H106</f>
        <v>300</v>
      </c>
      <c r="I105" s="47">
        <f>I106</f>
        <v>0</v>
      </c>
      <c r="J105" s="88"/>
      <c r="K105" s="47">
        <f>K106</f>
        <v>0</v>
      </c>
      <c r="L105" s="46">
        <f>L106</f>
        <v>300</v>
      </c>
      <c r="M105" s="46">
        <f>M106</f>
        <v>0</v>
      </c>
      <c r="N105" s="46">
        <f>N106</f>
        <v>300</v>
      </c>
      <c r="O105" s="94"/>
      <c r="P105" s="94"/>
    </row>
    <row r="106" spans="1:17" ht="31.5" x14ac:dyDescent="0.2">
      <c r="A106" s="42"/>
      <c r="B106" s="43" t="s">
        <v>35</v>
      </c>
      <c r="C106" s="44" t="s">
        <v>136</v>
      </c>
      <c r="D106" s="45" t="s">
        <v>36</v>
      </c>
      <c r="E106" s="105"/>
      <c r="F106" s="46">
        <v>300</v>
      </c>
      <c r="G106" s="46"/>
      <c r="H106" s="46">
        <v>300</v>
      </c>
      <c r="I106" s="47">
        <v>0</v>
      </c>
      <c r="J106" s="88"/>
      <c r="K106" s="47">
        <v>0</v>
      </c>
      <c r="L106" s="46">
        <v>300</v>
      </c>
      <c r="M106" s="46"/>
      <c r="N106" s="46">
        <v>300</v>
      </c>
      <c r="O106" s="94"/>
      <c r="P106" s="94"/>
    </row>
    <row r="107" spans="1:17" ht="31.5" x14ac:dyDescent="0.2">
      <c r="A107" s="42"/>
      <c r="B107" s="43" t="s">
        <v>137</v>
      </c>
      <c r="C107" s="44" t="s">
        <v>138</v>
      </c>
      <c r="D107" s="45" t="s">
        <v>26</v>
      </c>
      <c r="E107" s="105"/>
      <c r="F107" s="46">
        <f t="shared" ref="F107:N108" si="21">F108</f>
        <v>6110</v>
      </c>
      <c r="G107" s="46">
        <f t="shared" si="21"/>
        <v>723</v>
      </c>
      <c r="H107" s="46">
        <f t="shared" si="21"/>
        <v>6833</v>
      </c>
      <c r="I107" s="47">
        <f t="shared" si="21"/>
        <v>0</v>
      </c>
      <c r="J107" s="88"/>
      <c r="K107" s="47">
        <f t="shared" si="21"/>
        <v>0</v>
      </c>
      <c r="L107" s="46">
        <f t="shared" si="21"/>
        <v>6110</v>
      </c>
      <c r="M107" s="46">
        <f t="shared" si="21"/>
        <v>723</v>
      </c>
      <c r="N107" s="46">
        <f t="shared" si="21"/>
        <v>6833</v>
      </c>
      <c r="O107" s="94"/>
      <c r="P107" s="94"/>
    </row>
    <row r="108" spans="1:17" ht="63" x14ac:dyDescent="0.2">
      <c r="A108" s="42"/>
      <c r="B108" s="43" t="s">
        <v>135</v>
      </c>
      <c r="C108" s="44" t="s">
        <v>139</v>
      </c>
      <c r="D108" s="45" t="s">
        <v>26</v>
      </c>
      <c r="E108" s="105"/>
      <c r="F108" s="46">
        <f t="shared" si="21"/>
        <v>6110</v>
      </c>
      <c r="G108" s="46">
        <f t="shared" si="21"/>
        <v>723</v>
      </c>
      <c r="H108" s="46">
        <f t="shared" si="21"/>
        <v>6833</v>
      </c>
      <c r="I108" s="47">
        <f t="shared" si="21"/>
        <v>0</v>
      </c>
      <c r="J108" s="88"/>
      <c r="K108" s="47">
        <f t="shared" si="21"/>
        <v>0</v>
      </c>
      <c r="L108" s="46">
        <f t="shared" si="21"/>
        <v>6110</v>
      </c>
      <c r="M108" s="46">
        <f t="shared" si="21"/>
        <v>723</v>
      </c>
      <c r="N108" s="46">
        <f t="shared" si="21"/>
        <v>6833</v>
      </c>
      <c r="O108" s="94"/>
      <c r="P108" s="94"/>
    </row>
    <row r="109" spans="1:17" ht="31.5" x14ac:dyDescent="0.2">
      <c r="A109" s="42"/>
      <c r="B109" s="43" t="s">
        <v>35</v>
      </c>
      <c r="C109" s="44" t="s">
        <v>139</v>
      </c>
      <c r="D109" s="45" t="s">
        <v>36</v>
      </c>
      <c r="E109" s="105"/>
      <c r="F109" s="56">
        <f>4810+1300</f>
        <v>6110</v>
      </c>
      <c r="G109" s="56">
        <f>200+145+378</f>
        <v>723</v>
      </c>
      <c r="H109" s="56">
        <f>4810+1300+G109</f>
        <v>6833</v>
      </c>
      <c r="I109" s="47">
        <v>0</v>
      </c>
      <c r="J109" s="111"/>
      <c r="K109" s="47">
        <v>0</v>
      </c>
      <c r="L109" s="56">
        <f>4810+1300</f>
        <v>6110</v>
      </c>
      <c r="M109" s="56">
        <f>SUM(G109)</f>
        <v>723</v>
      </c>
      <c r="N109" s="56">
        <f>4810+1300+M109</f>
        <v>6833</v>
      </c>
      <c r="O109" s="94"/>
      <c r="P109" s="94"/>
    </row>
    <row r="110" spans="1:17" ht="15.75" x14ac:dyDescent="0.2">
      <c r="A110" s="49"/>
      <c r="B110" s="50" t="s">
        <v>140</v>
      </c>
      <c r="C110" s="51" t="s">
        <v>141</v>
      </c>
      <c r="D110" s="52" t="s">
        <v>26</v>
      </c>
      <c r="E110" s="106"/>
      <c r="F110" s="53">
        <f>F111+F118+F115+F121</f>
        <v>16102</v>
      </c>
      <c r="G110" s="53">
        <f>G111+G118+G115+G121</f>
        <v>2223.5</v>
      </c>
      <c r="H110" s="53">
        <f>H111+H118+H115+H121</f>
        <v>18325.5</v>
      </c>
      <c r="I110" s="54">
        <f>I111+I118</f>
        <v>0</v>
      </c>
      <c r="J110" s="53">
        <f>J111+J118</f>
        <v>0</v>
      </c>
      <c r="K110" s="54">
        <f>K111+K118</f>
        <v>0</v>
      </c>
      <c r="L110" s="53">
        <f>L111+L118+L115+L121</f>
        <v>16102</v>
      </c>
      <c r="M110" s="53">
        <f>M111+M118+M115+M121</f>
        <v>2223.5</v>
      </c>
      <c r="N110" s="53">
        <f>SUM(N111+N115+N118+N121)</f>
        <v>18325.5</v>
      </c>
      <c r="O110" s="95"/>
      <c r="P110" s="95"/>
      <c r="Q110" s="55"/>
    </row>
    <row r="111" spans="1:17" ht="47.25" x14ac:dyDescent="0.2">
      <c r="A111" s="42"/>
      <c r="B111" s="43" t="s">
        <v>142</v>
      </c>
      <c r="C111" s="44" t="s">
        <v>143</v>
      </c>
      <c r="D111" s="45" t="s">
        <v>26</v>
      </c>
      <c r="E111" s="105"/>
      <c r="F111" s="46">
        <f>F112</f>
        <v>8158.5999999999995</v>
      </c>
      <c r="G111" s="46">
        <f>G112</f>
        <v>966</v>
      </c>
      <c r="H111" s="46">
        <f>H112</f>
        <v>9124.6</v>
      </c>
      <c r="I111" s="47">
        <f>I112</f>
        <v>0</v>
      </c>
      <c r="J111" s="88"/>
      <c r="K111" s="47">
        <f>K112</f>
        <v>0</v>
      </c>
      <c r="L111" s="46">
        <f>L112</f>
        <v>8158.5999999999995</v>
      </c>
      <c r="M111" s="46">
        <f>M112</f>
        <v>966</v>
      </c>
      <c r="N111" s="46">
        <f>N112</f>
        <v>9124.6</v>
      </c>
      <c r="O111" s="94"/>
      <c r="P111" s="94"/>
    </row>
    <row r="112" spans="1:17" ht="31.5" x14ac:dyDescent="0.2">
      <c r="A112" s="42"/>
      <c r="B112" s="43" t="s">
        <v>39</v>
      </c>
      <c r="C112" s="44" t="s">
        <v>144</v>
      </c>
      <c r="D112" s="45" t="s">
        <v>26</v>
      </c>
      <c r="E112" s="105"/>
      <c r="F112" s="46">
        <f>F113+F114</f>
        <v>8158.5999999999995</v>
      </c>
      <c r="G112" s="46">
        <f>G113+G114</f>
        <v>966</v>
      </c>
      <c r="H112" s="46">
        <f>H113+H114</f>
        <v>9124.6</v>
      </c>
      <c r="I112" s="47">
        <f>I113+I114</f>
        <v>0</v>
      </c>
      <c r="J112" s="88"/>
      <c r="K112" s="47">
        <f>K113+K114</f>
        <v>0</v>
      </c>
      <c r="L112" s="46">
        <f>L113+L114</f>
        <v>8158.5999999999995</v>
      </c>
      <c r="M112" s="46">
        <f>M113+M114</f>
        <v>966</v>
      </c>
      <c r="N112" s="46">
        <f>N113+N114</f>
        <v>9124.6</v>
      </c>
      <c r="O112" s="94"/>
      <c r="P112" s="94"/>
    </row>
    <row r="113" spans="1:17" ht="64.900000000000006" customHeight="1" x14ac:dyDescent="0.2">
      <c r="A113" s="42"/>
      <c r="B113" s="43" t="s">
        <v>31</v>
      </c>
      <c r="C113" s="44" t="s">
        <v>144</v>
      </c>
      <c r="D113" s="45" t="s">
        <v>32</v>
      </c>
      <c r="E113" s="105"/>
      <c r="F113" s="46">
        <v>7905.2</v>
      </c>
      <c r="G113" s="46">
        <v>966</v>
      </c>
      <c r="H113" s="46">
        <f>7905.2+G113</f>
        <v>8871.2000000000007</v>
      </c>
      <c r="I113" s="47">
        <v>0</v>
      </c>
      <c r="J113" s="88"/>
      <c r="K113" s="47">
        <v>0</v>
      </c>
      <c r="L113" s="46">
        <v>7905.2</v>
      </c>
      <c r="M113" s="46">
        <f>SUM(G113)</f>
        <v>966</v>
      </c>
      <c r="N113" s="46">
        <f>7905.2+M113</f>
        <v>8871.2000000000007</v>
      </c>
      <c r="O113" s="94"/>
      <c r="P113" s="94"/>
    </row>
    <row r="114" spans="1:17" ht="31.5" x14ac:dyDescent="0.2">
      <c r="A114" s="42"/>
      <c r="B114" s="43" t="s">
        <v>35</v>
      </c>
      <c r="C114" s="44" t="s">
        <v>144</v>
      </c>
      <c r="D114" s="45" t="s">
        <v>36</v>
      </c>
      <c r="E114" s="105"/>
      <c r="F114" s="46">
        <v>253.4</v>
      </c>
      <c r="G114" s="46"/>
      <c r="H114" s="46">
        <f>SUM(F114)</f>
        <v>253.4</v>
      </c>
      <c r="I114" s="47">
        <v>0</v>
      </c>
      <c r="J114" s="88"/>
      <c r="K114" s="47">
        <v>0</v>
      </c>
      <c r="L114" s="46">
        <f t="shared" ref="L114:N117" si="22">SUM(F114)</f>
        <v>253.4</v>
      </c>
      <c r="M114" s="46">
        <f t="shared" si="22"/>
        <v>0</v>
      </c>
      <c r="N114" s="46">
        <f t="shared" si="22"/>
        <v>253.4</v>
      </c>
      <c r="O114" s="94"/>
      <c r="P114" s="94"/>
    </row>
    <row r="115" spans="1:17" ht="15.75" x14ac:dyDescent="0.2">
      <c r="A115" s="42"/>
      <c r="B115" s="43" t="s">
        <v>145</v>
      </c>
      <c r="C115" s="44" t="s">
        <v>146</v>
      </c>
      <c r="D115" s="45"/>
      <c r="E115" s="105"/>
      <c r="F115" s="46">
        <f>SUM(F117)</f>
        <v>600</v>
      </c>
      <c r="G115" s="46"/>
      <c r="H115" s="46">
        <f>SUM(H117)</f>
        <v>600</v>
      </c>
      <c r="I115" s="47"/>
      <c r="J115" s="88"/>
      <c r="K115" s="47"/>
      <c r="L115" s="46">
        <f t="shared" si="22"/>
        <v>600</v>
      </c>
      <c r="M115" s="46">
        <f t="shared" si="22"/>
        <v>0</v>
      </c>
      <c r="N115" s="46">
        <f t="shared" si="22"/>
        <v>600</v>
      </c>
      <c r="O115" s="94"/>
      <c r="P115" s="94"/>
    </row>
    <row r="116" spans="1:17" ht="15.75" x14ac:dyDescent="0.2">
      <c r="A116" s="42"/>
      <c r="B116" s="43" t="s">
        <v>147</v>
      </c>
      <c r="C116" s="44" t="s">
        <v>148</v>
      </c>
      <c r="D116" s="45"/>
      <c r="E116" s="105"/>
      <c r="F116" s="46">
        <v>600</v>
      </c>
      <c r="G116" s="46"/>
      <c r="H116" s="46">
        <f>SUM(F116)</f>
        <v>600</v>
      </c>
      <c r="I116" s="47"/>
      <c r="J116" s="88"/>
      <c r="K116" s="47"/>
      <c r="L116" s="46">
        <f t="shared" si="22"/>
        <v>600</v>
      </c>
      <c r="M116" s="46">
        <f t="shared" si="22"/>
        <v>0</v>
      </c>
      <c r="N116" s="46">
        <f t="shared" si="22"/>
        <v>600</v>
      </c>
      <c r="O116" s="94"/>
      <c r="P116" s="94"/>
    </row>
    <row r="117" spans="1:17" ht="31.5" x14ac:dyDescent="0.2">
      <c r="A117" s="42"/>
      <c r="B117" s="43" t="s">
        <v>35</v>
      </c>
      <c r="C117" s="44" t="s">
        <v>148</v>
      </c>
      <c r="D117" s="45" t="s">
        <v>36</v>
      </c>
      <c r="E117" s="105"/>
      <c r="F117" s="46">
        <v>600</v>
      </c>
      <c r="G117" s="46"/>
      <c r="H117" s="46">
        <f>SUM(F117)</f>
        <v>600</v>
      </c>
      <c r="I117" s="47"/>
      <c r="J117" s="88"/>
      <c r="K117" s="47"/>
      <c r="L117" s="46">
        <f t="shared" si="22"/>
        <v>600</v>
      </c>
      <c r="M117" s="46">
        <f t="shared" si="22"/>
        <v>0</v>
      </c>
      <c r="N117" s="46">
        <f t="shared" si="22"/>
        <v>600</v>
      </c>
      <c r="O117" s="94"/>
      <c r="P117" s="94"/>
    </row>
    <row r="118" spans="1:17" ht="47.25" x14ac:dyDescent="0.2">
      <c r="A118" s="42"/>
      <c r="B118" s="43" t="s">
        <v>149</v>
      </c>
      <c r="C118" s="44" t="s">
        <v>150</v>
      </c>
      <c r="D118" s="45" t="s">
        <v>26</v>
      </c>
      <c r="E118" s="105"/>
      <c r="F118" s="46">
        <f t="shared" ref="F118:N119" si="23">F119</f>
        <v>6273.4</v>
      </c>
      <c r="G118" s="46">
        <f t="shared" si="23"/>
        <v>1257.5</v>
      </c>
      <c r="H118" s="46">
        <f t="shared" si="23"/>
        <v>7530.9</v>
      </c>
      <c r="I118" s="47">
        <f t="shared" si="23"/>
        <v>0</v>
      </c>
      <c r="J118" s="88"/>
      <c r="K118" s="47">
        <f t="shared" si="23"/>
        <v>0</v>
      </c>
      <c r="L118" s="46">
        <f t="shared" si="23"/>
        <v>6273.4</v>
      </c>
      <c r="M118" s="46">
        <f t="shared" si="23"/>
        <v>1257.5</v>
      </c>
      <c r="N118" s="46">
        <f t="shared" si="23"/>
        <v>7530.9</v>
      </c>
      <c r="O118" s="94"/>
      <c r="P118" s="94"/>
    </row>
    <row r="119" spans="1:17" ht="31.5" x14ac:dyDescent="0.2">
      <c r="A119" s="42"/>
      <c r="B119" s="43" t="s">
        <v>39</v>
      </c>
      <c r="C119" s="44" t="s">
        <v>151</v>
      </c>
      <c r="D119" s="45" t="s">
        <v>26</v>
      </c>
      <c r="E119" s="105"/>
      <c r="F119" s="46">
        <f t="shared" si="23"/>
        <v>6273.4</v>
      </c>
      <c r="G119" s="46">
        <f t="shared" si="23"/>
        <v>1257.5</v>
      </c>
      <c r="H119" s="46">
        <f t="shared" si="23"/>
        <v>7530.9</v>
      </c>
      <c r="I119" s="47">
        <f t="shared" si="23"/>
        <v>0</v>
      </c>
      <c r="J119" s="88"/>
      <c r="K119" s="47">
        <f t="shared" si="23"/>
        <v>0</v>
      </c>
      <c r="L119" s="46">
        <f t="shared" si="23"/>
        <v>6273.4</v>
      </c>
      <c r="M119" s="46">
        <f t="shared" si="23"/>
        <v>1257.5</v>
      </c>
      <c r="N119" s="46">
        <f t="shared" si="23"/>
        <v>7530.9</v>
      </c>
      <c r="O119" s="94"/>
      <c r="P119" s="94"/>
    </row>
    <row r="120" spans="1:17" ht="31.5" x14ac:dyDescent="0.2">
      <c r="A120" s="42"/>
      <c r="B120" s="43" t="s">
        <v>74</v>
      </c>
      <c r="C120" s="44" t="s">
        <v>151</v>
      </c>
      <c r="D120" s="45" t="s">
        <v>75</v>
      </c>
      <c r="E120" s="105"/>
      <c r="F120" s="46">
        <v>6273.4</v>
      </c>
      <c r="G120" s="46">
        <f>365.5+892</f>
        <v>1257.5</v>
      </c>
      <c r="H120" s="46">
        <f>6273.4+G120</f>
        <v>7530.9</v>
      </c>
      <c r="I120" s="47">
        <v>0</v>
      </c>
      <c r="J120" s="88"/>
      <c r="K120" s="47">
        <v>0</v>
      </c>
      <c r="L120" s="46">
        <v>6273.4</v>
      </c>
      <c r="M120" s="46">
        <f>SUM(G120)</f>
        <v>1257.5</v>
      </c>
      <c r="N120" s="46">
        <f>SUM(L120+M120)</f>
        <v>7530.9</v>
      </c>
      <c r="O120" s="94"/>
      <c r="P120" s="94"/>
    </row>
    <row r="121" spans="1:17" ht="31.5" x14ac:dyDescent="0.2">
      <c r="A121" s="42"/>
      <c r="B121" s="128" t="s">
        <v>152</v>
      </c>
      <c r="C121" s="44" t="s">
        <v>153</v>
      </c>
      <c r="D121" s="45"/>
      <c r="E121" s="105"/>
      <c r="F121" s="136">
        <v>1070</v>
      </c>
      <c r="G121" s="46">
        <f>SUM(G124)+G123</f>
        <v>0</v>
      </c>
      <c r="H121" s="46">
        <f>SUM(F121)</f>
        <v>1070</v>
      </c>
      <c r="I121" s="47"/>
      <c r="J121" s="88"/>
      <c r="K121" s="47"/>
      <c r="L121" s="46">
        <f>SUM(F122)</f>
        <v>1070</v>
      </c>
      <c r="M121" s="46">
        <f t="shared" ref="M121:N124" si="24">SUM(G121)</f>
        <v>0</v>
      </c>
      <c r="N121" s="46">
        <f t="shared" si="24"/>
        <v>1070</v>
      </c>
      <c r="O121" s="94"/>
      <c r="P121" s="94"/>
    </row>
    <row r="122" spans="1:17" ht="31.5" x14ac:dyDescent="0.2">
      <c r="A122" s="42"/>
      <c r="B122" s="43" t="s">
        <v>154</v>
      </c>
      <c r="C122" s="44" t="s">
        <v>155</v>
      </c>
      <c r="D122" s="45"/>
      <c r="E122" s="105"/>
      <c r="F122" s="136">
        <v>1070</v>
      </c>
      <c r="G122" s="46"/>
      <c r="H122" s="46">
        <f>SUM(F122)</f>
        <v>1070</v>
      </c>
      <c r="I122" s="47"/>
      <c r="J122" s="88"/>
      <c r="K122" s="47"/>
      <c r="L122" s="136">
        <v>1070</v>
      </c>
      <c r="M122" s="46">
        <f t="shared" si="24"/>
        <v>0</v>
      </c>
      <c r="N122" s="46">
        <f t="shared" si="24"/>
        <v>1070</v>
      </c>
      <c r="O122" s="94"/>
      <c r="P122" s="94"/>
    </row>
    <row r="123" spans="1:17" ht="31.5" x14ac:dyDescent="0.2">
      <c r="A123" s="42"/>
      <c r="B123" s="43" t="s">
        <v>35</v>
      </c>
      <c r="C123" s="44" t="s">
        <v>155</v>
      </c>
      <c r="D123" s="45" t="s">
        <v>36</v>
      </c>
      <c r="E123" s="105"/>
      <c r="F123" s="136">
        <v>151.30000000000001</v>
      </c>
      <c r="G123" s="46"/>
      <c r="H123" s="46">
        <f>SUM(F123)+G123</f>
        <v>151.30000000000001</v>
      </c>
      <c r="I123" s="47"/>
      <c r="J123" s="88"/>
      <c r="K123" s="47"/>
      <c r="L123" s="46">
        <f>SUM(F123)</f>
        <v>151.30000000000001</v>
      </c>
      <c r="M123" s="46">
        <f>SUM(G123)</f>
        <v>0</v>
      </c>
      <c r="N123" s="46">
        <f t="shared" si="24"/>
        <v>151.30000000000001</v>
      </c>
      <c r="O123" s="94"/>
      <c r="P123" s="94"/>
    </row>
    <row r="124" spans="1:17" ht="31.5" x14ac:dyDescent="0.2">
      <c r="A124" s="42"/>
      <c r="B124" s="43" t="s">
        <v>131</v>
      </c>
      <c r="C124" s="44" t="s">
        <v>155</v>
      </c>
      <c r="D124" s="45" t="s">
        <v>132</v>
      </c>
      <c r="E124" s="105"/>
      <c r="F124" s="46">
        <v>918.7</v>
      </c>
      <c r="G124" s="46"/>
      <c r="H124" s="46">
        <f>SUM(F124)+G124</f>
        <v>918.7</v>
      </c>
      <c r="I124" s="47"/>
      <c r="J124" s="88"/>
      <c r="K124" s="47"/>
      <c r="L124" s="46">
        <f>SUM(F124)</f>
        <v>918.7</v>
      </c>
      <c r="M124" s="46">
        <f t="shared" si="24"/>
        <v>0</v>
      </c>
      <c r="N124" s="46">
        <f t="shared" si="24"/>
        <v>918.7</v>
      </c>
      <c r="O124" s="94"/>
      <c r="P124" s="94"/>
    </row>
    <row r="125" spans="1:17" ht="31.5" x14ac:dyDescent="0.2">
      <c r="A125" s="19" t="s">
        <v>156</v>
      </c>
      <c r="B125" s="20" t="s">
        <v>157</v>
      </c>
      <c r="C125" s="21" t="s">
        <v>158</v>
      </c>
      <c r="D125" s="22" t="s">
        <v>26</v>
      </c>
      <c r="E125" s="104"/>
      <c r="F125" s="23">
        <f t="shared" ref="F125:N125" si="25">F126+F130+F141+F167+F173</f>
        <v>227125.9</v>
      </c>
      <c r="G125" s="23">
        <f t="shared" si="25"/>
        <v>-5359.3000000000029</v>
      </c>
      <c r="H125" s="23">
        <f t="shared" si="25"/>
        <v>221766.59999999998</v>
      </c>
      <c r="I125" s="24">
        <f t="shared" si="25"/>
        <v>2305903.0000000005</v>
      </c>
      <c r="J125" s="23">
        <f t="shared" si="25"/>
        <v>0</v>
      </c>
      <c r="K125" s="24">
        <f t="shared" si="25"/>
        <v>2305903.0000000005</v>
      </c>
      <c r="L125" s="23">
        <f t="shared" si="25"/>
        <v>2533028.9</v>
      </c>
      <c r="M125" s="23">
        <f t="shared" si="25"/>
        <v>-5359.3000000000029</v>
      </c>
      <c r="N125" s="23">
        <f t="shared" si="25"/>
        <v>2527669.6</v>
      </c>
      <c r="O125" s="93"/>
      <c r="P125" s="93"/>
      <c r="Q125" s="25"/>
    </row>
    <row r="126" spans="1:17" ht="20.45" customHeight="1" x14ac:dyDescent="0.2">
      <c r="A126" s="49"/>
      <c r="B126" s="50" t="s">
        <v>159</v>
      </c>
      <c r="C126" s="51" t="s">
        <v>160</v>
      </c>
      <c r="D126" s="52" t="s">
        <v>26</v>
      </c>
      <c r="E126" s="106"/>
      <c r="F126" s="53">
        <f t="shared" ref="F126:K128" si="26">F127</f>
        <v>2930.2</v>
      </c>
      <c r="G126" s="53">
        <f t="shared" si="26"/>
        <v>0</v>
      </c>
      <c r="H126" s="53">
        <f t="shared" si="26"/>
        <v>2930.2</v>
      </c>
      <c r="I126" s="54">
        <f t="shared" si="26"/>
        <v>3074.2</v>
      </c>
      <c r="J126" s="87"/>
      <c r="K126" s="54">
        <f t="shared" si="26"/>
        <v>3074.2</v>
      </c>
      <c r="L126" s="53">
        <f>L127</f>
        <v>6004.4</v>
      </c>
      <c r="M126" s="53">
        <f t="shared" ref="L126:N128" si="27">M127</f>
        <v>0</v>
      </c>
      <c r="N126" s="53">
        <f t="shared" si="27"/>
        <v>6004.4</v>
      </c>
      <c r="O126" s="95"/>
      <c r="P126" s="95"/>
    </row>
    <row r="127" spans="1:17" ht="31.5" x14ac:dyDescent="0.2">
      <c r="A127" s="42"/>
      <c r="B127" s="43" t="s">
        <v>161</v>
      </c>
      <c r="C127" s="44" t="s">
        <v>162</v>
      </c>
      <c r="D127" s="45" t="s">
        <v>26</v>
      </c>
      <c r="E127" s="105"/>
      <c r="F127" s="46">
        <f t="shared" si="26"/>
        <v>2930.2</v>
      </c>
      <c r="G127" s="46">
        <f t="shared" si="26"/>
        <v>0</v>
      </c>
      <c r="H127" s="46">
        <f t="shared" si="26"/>
        <v>2930.2</v>
      </c>
      <c r="I127" s="47">
        <f t="shared" si="26"/>
        <v>3074.2</v>
      </c>
      <c r="J127" s="88"/>
      <c r="K127" s="47">
        <f t="shared" si="26"/>
        <v>3074.2</v>
      </c>
      <c r="L127" s="46">
        <f t="shared" si="27"/>
        <v>6004.4</v>
      </c>
      <c r="M127" s="46">
        <f t="shared" si="27"/>
        <v>0</v>
      </c>
      <c r="N127" s="46">
        <f t="shared" si="27"/>
        <v>6004.4</v>
      </c>
      <c r="O127" s="94"/>
      <c r="P127" s="94"/>
    </row>
    <row r="128" spans="1:17" ht="24" customHeight="1" x14ac:dyDescent="0.2">
      <c r="A128" s="42"/>
      <c r="B128" s="43" t="s">
        <v>163</v>
      </c>
      <c r="C128" s="44" t="s">
        <v>164</v>
      </c>
      <c r="D128" s="45" t="s">
        <v>26</v>
      </c>
      <c r="E128" s="105"/>
      <c r="F128" s="46">
        <f t="shared" si="26"/>
        <v>2930.2</v>
      </c>
      <c r="G128" s="46">
        <f t="shared" si="26"/>
        <v>0</v>
      </c>
      <c r="H128" s="46">
        <f t="shared" si="26"/>
        <v>2930.2</v>
      </c>
      <c r="I128" s="47">
        <f t="shared" si="26"/>
        <v>3074.2</v>
      </c>
      <c r="J128" s="88"/>
      <c r="K128" s="47">
        <f t="shared" si="26"/>
        <v>3074.2</v>
      </c>
      <c r="L128" s="46">
        <f t="shared" si="27"/>
        <v>6004.4</v>
      </c>
      <c r="M128" s="46">
        <f t="shared" si="27"/>
        <v>0</v>
      </c>
      <c r="N128" s="46">
        <f t="shared" si="27"/>
        <v>6004.4</v>
      </c>
      <c r="O128" s="94"/>
      <c r="P128" s="94"/>
    </row>
    <row r="129" spans="1:17" ht="15.75" x14ac:dyDescent="0.2">
      <c r="A129" s="42"/>
      <c r="B129" s="43" t="s">
        <v>54</v>
      </c>
      <c r="C129" s="44" t="s">
        <v>164</v>
      </c>
      <c r="D129" s="45" t="s">
        <v>55</v>
      </c>
      <c r="E129" s="105"/>
      <c r="F129" s="46">
        <v>2930.2</v>
      </c>
      <c r="G129" s="46"/>
      <c r="H129" s="46">
        <v>2930.2</v>
      </c>
      <c r="I129" s="47">
        <v>3074.2</v>
      </c>
      <c r="J129" s="88"/>
      <c r="K129" s="47">
        <v>3074.2</v>
      </c>
      <c r="L129" s="46">
        <f>2930.2+I129</f>
        <v>6004.4</v>
      </c>
      <c r="M129" s="46"/>
      <c r="N129" s="46">
        <f>2930.2+K129</f>
        <v>6004.4</v>
      </c>
      <c r="O129" s="94"/>
      <c r="P129" s="94"/>
    </row>
    <row r="130" spans="1:17" ht="31.5" x14ac:dyDescent="0.2">
      <c r="A130" s="49"/>
      <c r="B130" s="50" t="s">
        <v>165</v>
      </c>
      <c r="C130" s="51" t="s">
        <v>166</v>
      </c>
      <c r="D130" s="52" t="s">
        <v>26</v>
      </c>
      <c r="E130" s="106"/>
      <c r="F130" s="53">
        <f t="shared" ref="F130:N130" si="28">F131</f>
        <v>14792.900000000001</v>
      </c>
      <c r="G130" s="53">
        <f t="shared" si="28"/>
        <v>0</v>
      </c>
      <c r="H130" s="53">
        <f t="shared" si="28"/>
        <v>14792.900000000001</v>
      </c>
      <c r="I130" s="54">
        <f t="shared" si="28"/>
        <v>2301493.8000000003</v>
      </c>
      <c r="J130" s="53">
        <f t="shared" si="28"/>
        <v>0</v>
      </c>
      <c r="K130" s="54">
        <f t="shared" si="28"/>
        <v>2301493.8000000003</v>
      </c>
      <c r="L130" s="53">
        <f t="shared" si="28"/>
        <v>2316286.7000000002</v>
      </c>
      <c r="M130" s="53">
        <f t="shared" si="28"/>
        <v>0</v>
      </c>
      <c r="N130" s="53">
        <f t="shared" si="28"/>
        <v>2316286.7000000002</v>
      </c>
      <c r="O130" s="95"/>
      <c r="P130" s="95"/>
      <c r="Q130" s="55"/>
    </row>
    <row r="131" spans="1:17" ht="39.6" customHeight="1" x14ac:dyDescent="0.2">
      <c r="A131" s="42"/>
      <c r="B131" s="43" t="s">
        <v>167</v>
      </c>
      <c r="C131" s="44" t="s">
        <v>168</v>
      </c>
      <c r="D131" s="45" t="s">
        <v>26</v>
      </c>
      <c r="E131" s="105"/>
      <c r="F131" s="46">
        <f>F132+F135+F137+F139</f>
        <v>14792.900000000001</v>
      </c>
      <c r="G131" s="46">
        <f>SUM(G132+G139)</f>
        <v>0</v>
      </c>
      <c r="H131" s="46">
        <f>H132+H135+H137+H139</f>
        <v>14792.900000000001</v>
      </c>
      <c r="I131" s="47">
        <f t="shared" ref="I131:N131" si="29">I132+I135+I137+I139</f>
        <v>2301493.8000000003</v>
      </c>
      <c r="J131" s="46">
        <f t="shared" si="29"/>
        <v>0</v>
      </c>
      <c r="K131" s="47">
        <f t="shared" si="29"/>
        <v>2301493.8000000003</v>
      </c>
      <c r="L131" s="46">
        <f t="shared" si="29"/>
        <v>2316286.7000000002</v>
      </c>
      <c r="M131" s="46"/>
      <c r="N131" s="46">
        <f t="shared" si="29"/>
        <v>2316286.7000000002</v>
      </c>
      <c r="O131" s="94"/>
      <c r="P131" s="94"/>
      <c r="Q131" s="48"/>
    </row>
    <row r="132" spans="1:17" ht="15.75" x14ac:dyDescent="0.2">
      <c r="A132" s="42"/>
      <c r="B132" s="43" t="s">
        <v>169</v>
      </c>
      <c r="C132" s="44" t="s">
        <v>170</v>
      </c>
      <c r="D132" s="45" t="s">
        <v>26</v>
      </c>
      <c r="E132" s="105"/>
      <c r="F132" s="46">
        <f>F133+F134</f>
        <v>2286.1</v>
      </c>
      <c r="G132" s="46">
        <f>G133+G134</f>
        <v>0</v>
      </c>
      <c r="H132" s="46">
        <f>H133+H134</f>
        <v>2286.1</v>
      </c>
      <c r="I132" s="47">
        <f>I133</f>
        <v>1529.5</v>
      </c>
      <c r="J132" s="46">
        <f>J133</f>
        <v>0</v>
      </c>
      <c r="K132" s="47">
        <f>K133</f>
        <v>1529.5</v>
      </c>
      <c r="L132" s="46">
        <f>L133+F132</f>
        <v>3815.6</v>
      </c>
      <c r="M132" s="46">
        <f>M133+M134</f>
        <v>0</v>
      </c>
      <c r="N132" s="46">
        <f>N133+N134</f>
        <v>3815.6</v>
      </c>
      <c r="O132" s="94"/>
      <c r="P132" s="94"/>
    </row>
    <row r="133" spans="1:17" ht="31.5" x14ac:dyDescent="0.2">
      <c r="A133" s="42"/>
      <c r="B133" s="43" t="s">
        <v>35</v>
      </c>
      <c r="C133" s="44" t="s">
        <v>170</v>
      </c>
      <c r="D133" s="45" t="s">
        <v>36</v>
      </c>
      <c r="E133" s="105"/>
      <c r="F133" s="46">
        <v>0</v>
      </c>
      <c r="G133" s="46"/>
      <c r="H133" s="46">
        <f>SUM(F133+G133)</f>
        <v>0</v>
      </c>
      <c r="I133" s="47">
        <v>1529.5</v>
      </c>
      <c r="J133" s="88"/>
      <c r="K133" s="88">
        <f>SUM(I133)</f>
        <v>1529.5</v>
      </c>
      <c r="L133" s="46">
        <f>SUM(I133)</f>
        <v>1529.5</v>
      </c>
      <c r="M133" s="46">
        <f>SUM(G133+J133)</f>
        <v>0</v>
      </c>
      <c r="N133" s="46">
        <f>SUM(K133)</f>
        <v>1529.5</v>
      </c>
      <c r="O133" s="94"/>
      <c r="P133" s="94"/>
    </row>
    <row r="134" spans="1:17" ht="31.5" x14ac:dyDescent="0.2">
      <c r="A134" s="42"/>
      <c r="B134" s="43" t="s">
        <v>131</v>
      </c>
      <c r="C134" s="44" t="s">
        <v>170</v>
      </c>
      <c r="D134" s="45" t="s">
        <v>132</v>
      </c>
      <c r="E134" s="105"/>
      <c r="F134" s="46">
        <v>2286.1</v>
      </c>
      <c r="G134" s="46"/>
      <c r="H134" s="46">
        <f>SUM(F134)+G134</f>
        <v>2286.1</v>
      </c>
      <c r="I134" s="47"/>
      <c r="J134" s="88"/>
      <c r="K134" s="88"/>
      <c r="L134" s="46">
        <f>SUM(F134)</f>
        <v>2286.1</v>
      </c>
      <c r="M134" s="46">
        <f>SUM(G134)</f>
        <v>0</v>
      </c>
      <c r="N134" s="46">
        <f>SUM(H134)</f>
        <v>2286.1</v>
      </c>
      <c r="O134" s="94"/>
      <c r="P134" s="94"/>
    </row>
    <row r="135" spans="1:17" ht="20.45" customHeight="1" x14ac:dyDescent="0.2">
      <c r="A135" s="42"/>
      <c r="B135" s="43" t="s">
        <v>171</v>
      </c>
      <c r="C135" s="44" t="s">
        <v>172</v>
      </c>
      <c r="D135" s="45" t="s">
        <v>26</v>
      </c>
      <c r="E135" s="105"/>
      <c r="F135" s="46">
        <f>F136</f>
        <v>11457.5</v>
      </c>
      <c r="G135" s="46">
        <f>G136</f>
        <v>0</v>
      </c>
      <c r="H135" s="46">
        <f>H136</f>
        <v>11457.5</v>
      </c>
      <c r="I135" s="47">
        <f>I136</f>
        <v>2280029.1</v>
      </c>
      <c r="J135" s="88"/>
      <c r="K135" s="47">
        <f>K136</f>
        <v>2280029.1</v>
      </c>
      <c r="L135" s="46">
        <f>L136</f>
        <v>2291486.6</v>
      </c>
      <c r="M135" s="46">
        <f>M136</f>
        <v>0</v>
      </c>
      <c r="N135" s="46">
        <f>N136</f>
        <v>2291486.6</v>
      </c>
      <c r="O135" s="94"/>
      <c r="P135" s="94"/>
    </row>
    <row r="136" spans="1:17" ht="31.5" x14ac:dyDescent="0.2">
      <c r="A136" s="42"/>
      <c r="B136" s="43" t="s">
        <v>131</v>
      </c>
      <c r="C136" s="44" t="s">
        <v>172</v>
      </c>
      <c r="D136" s="45" t="s">
        <v>132</v>
      </c>
      <c r="E136" s="105"/>
      <c r="F136" s="46">
        <v>11457.5</v>
      </c>
      <c r="G136" s="46"/>
      <c r="H136" s="46">
        <v>11457.5</v>
      </c>
      <c r="I136" s="47">
        <v>2280029.1</v>
      </c>
      <c r="J136" s="88"/>
      <c r="K136" s="47">
        <v>2280029.1</v>
      </c>
      <c r="L136" s="46">
        <f>11457.5+I136</f>
        <v>2291486.6</v>
      </c>
      <c r="M136" s="46"/>
      <c r="N136" s="46">
        <f>11457.5+K136</f>
        <v>2291486.6</v>
      </c>
      <c r="O136" s="94"/>
      <c r="P136" s="94"/>
    </row>
    <row r="137" spans="1:17" ht="15.75" x14ac:dyDescent="0.2">
      <c r="A137" s="42"/>
      <c r="B137" s="43" t="s">
        <v>173</v>
      </c>
      <c r="C137" s="44" t="s">
        <v>174</v>
      </c>
      <c r="D137" s="45" t="s">
        <v>26</v>
      </c>
      <c r="E137" s="105"/>
      <c r="F137" s="46">
        <f>F138</f>
        <v>386.1</v>
      </c>
      <c r="G137" s="46">
        <f>G138</f>
        <v>0</v>
      </c>
      <c r="H137" s="46">
        <f>H138</f>
        <v>386.1</v>
      </c>
      <c r="I137" s="47">
        <f>I138</f>
        <v>7335.5</v>
      </c>
      <c r="J137" s="88"/>
      <c r="K137" s="47">
        <f>K138</f>
        <v>7335.5</v>
      </c>
      <c r="L137" s="46">
        <f>L138</f>
        <v>7721.6</v>
      </c>
      <c r="M137" s="46">
        <f>M138</f>
        <v>0</v>
      </c>
      <c r="N137" s="46">
        <f>N138</f>
        <v>7721.6</v>
      </c>
      <c r="O137" s="94"/>
      <c r="P137" s="94"/>
    </row>
    <row r="138" spans="1:17" ht="31.5" x14ac:dyDescent="0.2">
      <c r="A138" s="42"/>
      <c r="B138" s="43" t="s">
        <v>131</v>
      </c>
      <c r="C138" s="44" t="s">
        <v>174</v>
      </c>
      <c r="D138" s="45" t="s">
        <v>132</v>
      </c>
      <c r="E138" s="105"/>
      <c r="F138" s="46">
        <v>386.1</v>
      </c>
      <c r="G138" s="46"/>
      <c r="H138" s="46">
        <f>SUM(F138)</f>
        <v>386.1</v>
      </c>
      <c r="I138" s="78">
        <f>14200-6864.5</f>
        <v>7335.5</v>
      </c>
      <c r="J138" s="88"/>
      <c r="K138" s="78">
        <f>14200-6864.5</f>
        <v>7335.5</v>
      </c>
      <c r="L138" s="78">
        <f>SUM(F138+I138)</f>
        <v>7721.6</v>
      </c>
      <c r="M138" s="46">
        <f>SUM(G138)</f>
        <v>0</v>
      </c>
      <c r="N138" s="78">
        <f>SUM(H138+K138)</f>
        <v>7721.6</v>
      </c>
      <c r="O138" s="94"/>
      <c r="P138" s="94"/>
    </row>
    <row r="139" spans="1:17" ht="15.75" x14ac:dyDescent="0.2">
      <c r="A139" s="42"/>
      <c r="B139" s="43" t="s">
        <v>175</v>
      </c>
      <c r="C139" s="44" t="s">
        <v>176</v>
      </c>
      <c r="D139" s="45" t="s">
        <v>26</v>
      </c>
      <c r="E139" s="105"/>
      <c r="F139" s="46">
        <f>F140</f>
        <v>663.2</v>
      </c>
      <c r="G139" s="46">
        <f>G140</f>
        <v>0</v>
      </c>
      <c r="H139" s="46">
        <f>H140</f>
        <v>663.2</v>
      </c>
      <c r="I139" s="47">
        <f>I140</f>
        <v>12599.699999999999</v>
      </c>
      <c r="J139" s="88"/>
      <c r="K139" s="47">
        <f>K140</f>
        <v>12599.699999999999</v>
      </c>
      <c r="L139" s="46">
        <f>L140</f>
        <v>13262.9</v>
      </c>
      <c r="M139" s="46">
        <f>M140</f>
        <v>0</v>
      </c>
      <c r="N139" s="46">
        <f>N140</f>
        <v>13262.9</v>
      </c>
      <c r="O139" s="94"/>
      <c r="P139" s="94"/>
    </row>
    <row r="140" spans="1:17" ht="31.5" x14ac:dyDescent="0.2">
      <c r="A140" s="42"/>
      <c r="B140" s="43" t="s">
        <v>131</v>
      </c>
      <c r="C140" s="44" t="s">
        <v>176</v>
      </c>
      <c r="D140" s="45" t="s">
        <v>132</v>
      </c>
      <c r="E140" s="105"/>
      <c r="F140" s="46">
        <v>663.2</v>
      </c>
      <c r="G140" s="46"/>
      <c r="H140" s="46">
        <v>663.2</v>
      </c>
      <c r="I140" s="78">
        <f>11689.4+910.3</f>
        <v>12599.699999999999</v>
      </c>
      <c r="J140" s="88"/>
      <c r="K140" s="78">
        <f>11689.4+910.3</f>
        <v>12599.699999999999</v>
      </c>
      <c r="L140" s="46">
        <f>SUM(F140+I140)</f>
        <v>13262.9</v>
      </c>
      <c r="M140" s="46">
        <f>SUM(G140)</f>
        <v>0</v>
      </c>
      <c r="N140" s="46">
        <f>SUM(H140+K140)</f>
        <v>13262.9</v>
      </c>
      <c r="O140" s="94"/>
      <c r="P140" s="94"/>
    </row>
    <row r="141" spans="1:17" ht="15.75" x14ac:dyDescent="0.2">
      <c r="A141" s="49"/>
      <c r="B141" s="50" t="s">
        <v>177</v>
      </c>
      <c r="C141" s="51" t="s">
        <v>178</v>
      </c>
      <c r="D141" s="52" t="s">
        <v>26</v>
      </c>
      <c r="E141" s="106"/>
      <c r="F141" s="53">
        <f t="shared" ref="F141:N141" si="30">F142</f>
        <v>85572.4</v>
      </c>
      <c r="G141" s="53">
        <f t="shared" si="30"/>
        <v>-35725.800000000003</v>
      </c>
      <c r="H141" s="53">
        <f t="shared" si="30"/>
        <v>49846.6</v>
      </c>
      <c r="I141" s="54">
        <f t="shared" si="30"/>
        <v>1335</v>
      </c>
      <c r="J141" s="53">
        <f>SUM(J157+J159)</f>
        <v>0</v>
      </c>
      <c r="K141" s="54">
        <f>K142+J141</f>
        <v>1335</v>
      </c>
      <c r="L141" s="53">
        <f t="shared" si="30"/>
        <v>86907.4</v>
      </c>
      <c r="M141" s="53">
        <f t="shared" si="30"/>
        <v>-35725.800000000003</v>
      </c>
      <c r="N141" s="53">
        <f t="shared" si="30"/>
        <v>51181.599999999999</v>
      </c>
      <c r="O141" s="95"/>
      <c r="P141" s="95"/>
      <c r="Q141" s="55"/>
    </row>
    <row r="142" spans="1:17" ht="34.9" customHeight="1" x14ac:dyDescent="0.2">
      <c r="A142" s="42"/>
      <c r="B142" s="43" t="s">
        <v>179</v>
      </c>
      <c r="C142" s="44" t="s">
        <v>180</v>
      </c>
      <c r="D142" s="45" t="s">
        <v>26</v>
      </c>
      <c r="E142" s="105"/>
      <c r="F142" s="46">
        <f>F143+F145+F147+F149+F153+F155+F151+F161</f>
        <v>85572.4</v>
      </c>
      <c r="G142" s="46">
        <f>G143+G145+G147+G149+G153+G155+G151+G161</f>
        <v>-35725.800000000003</v>
      </c>
      <c r="H142" s="46">
        <f>H143+H145+H147+H149+H153+H155+H151+H161</f>
        <v>49846.6</v>
      </c>
      <c r="I142" s="47">
        <f>I143+I145+I147+I149+I153+I155+I161</f>
        <v>1335</v>
      </c>
      <c r="J142" s="88">
        <f>SUM(J161)</f>
        <v>0</v>
      </c>
      <c r="K142" s="47">
        <f>K143+K145+K147+K149+K153+K155+K161</f>
        <v>1335</v>
      </c>
      <c r="L142" s="46">
        <f>L143+L145+L147+L149+L153+L155+L151+L161</f>
        <v>86907.4</v>
      </c>
      <c r="M142" s="46">
        <f>SUM(G142)</f>
        <v>-35725.800000000003</v>
      </c>
      <c r="N142" s="46">
        <f>N143+N145+N147+N149+N153+N155+N151+N161</f>
        <v>51181.599999999999</v>
      </c>
      <c r="O142" s="94"/>
      <c r="P142" s="94"/>
      <c r="Q142" s="48"/>
    </row>
    <row r="143" spans="1:17" ht="15.75" x14ac:dyDescent="0.2">
      <c r="A143" s="42"/>
      <c r="B143" s="43" t="s">
        <v>181</v>
      </c>
      <c r="C143" s="44" t="s">
        <v>182</v>
      </c>
      <c r="D143" s="45" t="s">
        <v>26</v>
      </c>
      <c r="E143" s="105"/>
      <c r="F143" s="46">
        <f>F144</f>
        <v>54639</v>
      </c>
      <c r="G143" s="46">
        <f>G144</f>
        <v>-36025.800000000003</v>
      </c>
      <c r="H143" s="46">
        <f>H144</f>
        <v>18613.199999999997</v>
      </c>
      <c r="I143" s="47">
        <f>I144</f>
        <v>0</v>
      </c>
      <c r="J143" s="88"/>
      <c r="K143" s="47">
        <f>K144</f>
        <v>0</v>
      </c>
      <c r="L143" s="46">
        <f>L144</f>
        <v>54639</v>
      </c>
      <c r="M143" s="46">
        <f>M144</f>
        <v>-36025.800000000003</v>
      </c>
      <c r="N143" s="46">
        <f>N144</f>
        <v>18613.199999999997</v>
      </c>
      <c r="O143" s="94"/>
      <c r="P143" s="94"/>
    </row>
    <row r="144" spans="1:17" ht="31.5" x14ac:dyDescent="0.2">
      <c r="A144" s="42"/>
      <c r="B144" s="43" t="s">
        <v>35</v>
      </c>
      <c r="C144" s="44" t="s">
        <v>182</v>
      </c>
      <c r="D144" s="45" t="s">
        <v>36</v>
      </c>
      <c r="E144" s="105"/>
      <c r="F144" s="46">
        <v>54639</v>
      </c>
      <c r="G144" s="46">
        <f>-12482.3-24254+710.5</f>
        <v>-36025.800000000003</v>
      </c>
      <c r="H144" s="46">
        <f>SUM(F144)+G144</f>
        <v>18613.199999999997</v>
      </c>
      <c r="I144" s="47">
        <v>0</v>
      </c>
      <c r="J144" s="88"/>
      <c r="K144" s="47">
        <v>0</v>
      </c>
      <c r="L144" s="46">
        <f>SUM(F144)</f>
        <v>54639</v>
      </c>
      <c r="M144" s="46">
        <f>SUM(G144)</f>
        <v>-36025.800000000003</v>
      </c>
      <c r="N144" s="46">
        <f>SUM(H144)</f>
        <v>18613.199999999997</v>
      </c>
      <c r="O144" s="94"/>
      <c r="P144" s="94"/>
    </row>
    <row r="145" spans="1:17" ht="15.75" x14ac:dyDescent="0.2">
      <c r="A145" s="42"/>
      <c r="B145" s="43" t="s">
        <v>183</v>
      </c>
      <c r="C145" s="44" t="s">
        <v>184</v>
      </c>
      <c r="D145" s="45" t="s">
        <v>26</v>
      </c>
      <c r="E145" s="105"/>
      <c r="F145" s="46">
        <f t="shared" ref="F145:N145" si="31">F146</f>
        <v>10114.1</v>
      </c>
      <c r="G145" s="46">
        <f t="shared" si="31"/>
        <v>0</v>
      </c>
      <c r="H145" s="46">
        <f t="shared" si="31"/>
        <v>10114.1</v>
      </c>
      <c r="I145" s="47">
        <f t="shared" si="31"/>
        <v>75</v>
      </c>
      <c r="J145" s="46">
        <f t="shared" si="31"/>
        <v>0</v>
      </c>
      <c r="K145" s="47">
        <f t="shared" si="31"/>
        <v>75</v>
      </c>
      <c r="L145" s="46">
        <f t="shared" si="31"/>
        <v>10189.1</v>
      </c>
      <c r="M145" s="46">
        <f t="shared" si="31"/>
        <v>0</v>
      </c>
      <c r="N145" s="46">
        <f t="shared" si="31"/>
        <v>10189.1</v>
      </c>
      <c r="O145" s="94"/>
      <c r="P145" s="94"/>
    </row>
    <row r="146" spans="1:17" ht="31.5" x14ac:dyDescent="0.2">
      <c r="A146" s="42"/>
      <c r="B146" s="43" t="s">
        <v>35</v>
      </c>
      <c r="C146" s="44" t="s">
        <v>184</v>
      </c>
      <c r="D146" s="45" t="s">
        <v>36</v>
      </c>
      <c r="E146" s="105"/>
      <c r="F146" s="46">
        <v>10114.1</v>
      </c>
      <c r="G146" s="46"/>
      <c r="H146" s="46">
        <f>SUM(F146)+G146</f>
        <v>10114.1</v>
      </c>
      <c r="I146" s="47">
        <v>75</v>
      </c>
      <c r="J146" s="88"/>
      <c r="K146" s="47">
        <f>SUM(I146)</f>
        <v>75</v>
      </c>
      <c r="L146" s="46">
        <f>SUM(F146+I146)</f>
        <v>10189.1</v>
      </c>
      <c r="M146" s="46">
        <f>SUM(J146)+G146</f>
        <v>0</v>
      </c>
      <c r="N146" s="46">
        <f>SUM(H146+K146)</f>
        <v>10189.1</v>
      </c>
      <c r="O146" s="94"/>
      <c r="P146" s="94"/>
    </row>
    <row r="147" spans="1:17" ht="15.75" x14ac:dyDescent="0.2">
      <c r="A147" s="42"/>
      <c r="B147" s="43" t="s">
        <v>185</v>
      </c>
      <c r="C147" s="44" t="s">
        <v>186</v>
      </c>
      <c r="D147" s="45" t="s">
        <v>26</v>
      </c>
      <c r="E147" s="105"/>
      <c r="F147" s="46">
        <f>F148</f>
        <v>2550</v>
      </c>
      <c r="G147" s="46">
        <f>G148</f>
        <v>-31.5</v>
      </c>
      <c r="H147" s="46">
        <f>H148</f>
        <v>2518.5</v>
      </c>
      <c r="I147" s="47">
        <f>I148</f>
        <v>0</v>
      </c>
      <c r="J147" s="88"/>
      <c r="K147" s="47">
        <f>K148</f>
        <v>0</v>
      </c>
      <c r="L147" s="46">
        <f>L148</f>
        <v>2550</v>
      </c>
      <c r="M147" s="46">
        <f>M148</f>
        <v>-31.5</v>
      </c>
      <c r="N147" s="46">
        <f>N148</f>
        <v>2518.5</v>
      </c>
      <c r="O147" s="94"/>
      <c r="P147" s="94"/>
    </row>
    <row r="148" spans="1:17" ht="31.5" x14ac:dyDescent="0.2">
      <c r="A148" s="42"/>
      <c r="B148" s="43" t="s">
        <v>35</v>
      </c>
      <c r="C148" s="44" t="s">
        <v>186</v>
      </c>
      <c r="D148" s="45" t="s">
        <v>36</v>
      </c>
      <c r="E148" s="105"/>
      <c r="F148" s="46">
        <v>2550</v>
      </c>
      <c r="G148" s="46">
        <v>-31.5</v>
      </c>
      <c r="H148" s="46">
        <f>2550+G148</f>
        <v>2518.5</v>
      </c>
      <c r="I148" s="47">
        <v>0</v>
      </c>
      <c r="J148" s="88"/>
      <c r="K148" s="47">
        <v>0</v>
      </c>
      <c r="L148" s="46">
        <v>2550</v>
      </c>
      <c r="M148" s="46">
        <f>SUM(G148)</f>
        <v>-31.5</v>
      </c>
      <c r="N148" s="46">
        <f>2550+M148</f>
        <v>2518.5</v>
      </c>
      <c r="O148" s="94"/>
      <c r="P148" s="94"/>
      <c r="Q148" s="43"/>
    </row>
    <row r="149" spans="1:17" ht="15.75" x14ac:dyDescent="0.2">
      <c r="A149" s="42"/>
      <c r="B149" s="43" t="s">
        <v>187</v>
      </c>
      <c r="C149" s="44" t="s">
        <v>188</v>
      </c>
      <c r="D149" s="45" t="s">
        <v>26</v>
      </c>
      <c r="E149" s="105"/>
      <c r="F149" s="46">
        <f>F150</f>
        <v>1597.4</v>
      </c>
      <c r="G149" s="46">
        <f>G150</f>
        <v>564.4</v>
      </c>
      <c r="H149" s="46">
        <f>H150</f>
        <v>2161.8000000000002</v>
      </c>
      <c r="I149" s="47">
        <f>I150</f>
        <v>0</v>
      </c>
      <c r="J149" s="88"/>
      <c r="K149" s="47">
        <f>K150</f>
        <v>0</v>
      </c>
      <c r="L149" s="46">
        <f>L150</f>
        <v>1597.4</v>
      </c>
      <c r="M149" s="46">
        <f>M150</f>
        <v>564.4</v>
      </c>
      <c r="N149" s="46">
        <f>N150</f>
        <v>2161.8000000000002</v>
      </c>
      <c r="O149" s="94"/>
      <c r="P149" s="94"/>
    </row>
    <row r="150" spans="1:17" ht="31.5" x14ac:dyDescent="0.2">
      <c r="A150" s="42"/>
      <c r="B150" s="43" t="s">
        <v>35</v>
      </c>
      <c r="C150" s="44" t="s">
        <v>188</v>
      </c>
      <c r="D150" s="45" t="s">
        <v>36</v>
      </c>
      <c r="E150" s="105"/>
      <c r="F150" s="46">
        <v>1597.4</v>
      </c>
      <c r="G150" s="46">
        <f>-50+520.3-53.5+147.6</f>
        <v>564.4</v>
      </c>
      <c r="H150" s="46">
        <f>SUM(F150)+G150</f>
        <v>2161.8000000000002</v>
      </c>
      <c r="I150" s="47">
        <v>0</v>
      </c>
      <c r="J150" s="88"/>
      <c r="K150" s="47">
        <v>0</v>
      </c>
      <c r="L150" s="46">
        <f t="shared" ref="L150:N152" si="32">SUM(F150)</f>
        <v>1597.4</v>
      </c>
      <c r="M150" s="46">
        <f t="shared" si="32"/>
        <v>564.4</v>
      </c>
      <c r="N150" s="46">
        <f t="shared" si="32"/>
        <v>2161.8000000000002</v>
      </c>
      <c r="O150" s="94"/>
      <c r="P150" s="94"/>
    </row>
    <row r="151" spans="1:17" ht="27" customHeight="1" x14ac:dyDescent="0.2">
      <c r="A151" s="42"/>
      <c r="B151" s="43" t="s">
        <v>189</v>
      </c>
      <c r="C151" s="44" t="s">
        <v>190</v>
      </c>
      <c r="D151" s="45"/>
      <c r="E151" s="105"/>
      <c r="F151" s="46">
        <v>700</v>
      </c>
      <c r="G151" s="46">
        <v>-116.4</v>
      </c>
      <c r="H151" s="46">
        <f>SUM(F151)+G151</f>
        <v>583.6</v>
      </c>
      <c r="I151" s="47"/>
      <c r="J151" s="88"/>
      <c r="K151" s="47"/>
      <c r="L151" s="46">
        <f t="shared" si="32"/>
        <v>700</v>
      </c>
      <c r="M151" s="46">
        <f t="shared" si="32"/>
        <v>-116.4</v>
      </c>
      <c r="N151" s="46">
        <f t="shared" si="32"/>
        <v>583.6</v>
      </c>
      <c r="O151" s="94"/>
      <c r="P151" s="94"/>
    </row>
    <row r="152" spans="1:17" ht="31.5" x14ac:dyDescent="0.2">
      <c r="A152" s="42"/>
      <c r="B152" s="43" t="s">
        <v>35</v>
      </c>
      <c r="C152" s="44" t="s">
        <v>190</v>
      </c>
      <c r="D152" s="45" t="s">
        <v>36</v>
      </c>
      <c r="E152" s="105"/>
      <c r="F152" s="46">
        <v>700</v>
      </c>
      <c r="G152" s="46">
        <v>-116.4</v>
      </c>
      <c r="H152" s="46">
        <f>SUM(F152)+G152</f>
        <v>583.6</v>
      </c>
      <c r="I152" s="47"/>
      <c r="J152" s="88"/>
      <c r="K152" s="47"/>
      <c r="L152" s="46">
        <f t="shared" si="32"/>
        <v>700</v>
      </c>
      <c r="M152" s="46">
        <f t="shared" si="32"/>
        <v>-116.4</v>
      </c>
      <c r="N152" s="46">
        <f t="shared" si="32"/>
        <v>583.6</v>
      </c>
      <c r="O152" s="94"/>
      <c r="P152" s="94"/>
    </row>
    <row r="153" spans="1:17" ht="31.5" x14ac:dyDescent="0.2">
      <c r="A153" s="42"/>
      <c r="B153" s="43" t="s">
        <v>191</v>
      </c>
      <c r="C153" s="44" t="s">
        <v>192</v>
      </c>
      <c r="D153" s="45" t="s">
        <v>26</v>
      </c>
      <c r="E153" s="105"/>
      <c r="F153" s="46">
        <f>F154</f>
        <v>4100</v>
      </c>
      <c r="G153" s="46">
        <f>G154</f>
        <v>-847.59999999999991</v>
      </c>
      <c r="H153" s="46">
        <f>H154</f>
        <v>3252.4</v>
      </c>
      <c r="I153" s="47">
        <f>I154</f>
        <v>0</v>
      </c>
      <c r="J153" s="88"/>
      <c r="K153" s="47">
        <f>K154</f>
        <v>0</v>
      </c>
      <c r="L153" s="46">
        <f>L154</f>
        <v>4100</v>
      </c>
      <c r="M153" s="46">
        <f>M154</f>
        <v>-847.59999999999991</v>
      </c>
      <c r="N153" s="46">
        <f>N154</f>
        <v>3252.4</v>
      </c>
      <c r="O153" s="94"/>
      <c r="P153" s="94"/>
    </row>
    <row r="154" spans="1:17" ht="31.5" x14ac:dyDescent="0.2">
      <c r="A154" s="42"/>
      <c r="B154" s="43" t="s">
        <v>35</v>
      </c>
      <c r="C154" s="44" t="s">
        <v>192</v>
      </c>
      <c r="D154" s="45" t="s">
        <v>36</v>
      </c>
      <c r="E154" s="105"/>
      <c r="F154" s="46">
        <v>4100</v>
      </c>
      <c r="G154" s="46">
        <f>-520.3-479.7-147.6+300</f>
        <v>-847.59999999999991</v>
      </c>
      <c r="H154" s="46">
        <f>4100+G154</f>
        <v>3252.4</v>
      </c>
      <c r="I154" s="47">
        <v>0</v>
      </c>
      <c r="J154" s="88"/>
      <c r="K154" s="47">
        <v>0</v>
      </c>
      <c r="L154" s="46">
        <v>4100</v>
      </c>
      <c r="M154" s="46">
        <f>SUM(G154)</f>
        <v>-847.59999999999991</v>
      </c>
      <c r="N154" s="46">
        <f>4100+M154</f>
        <v>3252.4</v>
      </c>
      <c r="O154" s="94"/>
      <c r="P154" s="94"/>
    </row>
    <row r="155" spans="1:17" ht="34.9" customHeight="1" x14ac:dyDescent="0.2">
      <c r="A155" s="42"/>
      <c r="B155" s="43" t="s">
        <v>193</v>
      </c>
      <c r="C155" s="44" t="s">
        <v>194</v>
      </c>
      <c r="D155" s="45" t="s">
        <v>26</v>
      </c>
      <c r="E155" s="105"/>
      <c r="F155" s="46">
        <f>F156</f>
        <v>11805.5</v>
      </c>
      <c r="G155" s="46">
        <f>G156</f>
        <v>731.1</v>
      </c>
      <c r="H155" s="46">
        <f>H156</f>
        <v>12536.6</v>
      </c>
      <c r="I155" s="47">
        <f>I156</f>
        <v>0</v>
      </c>
      <c r="J155" s="88"/>
      <c r="K155" s="47">
        <f>K156</f>
        <v>0</v>
      </c>
      <c r="L155" s="46">
        <f>L156</f>
        <v>11805.5</v>
      </c>
      <c r="M155" s="46">
        <f>M156</f>
        <v>731.1</v>
      </c>
      <c r="N155" s="46">
        <f>N156</f>
        <v>12536.6</v>
      </c>
      <c r="O155" s="94"/>
      <c r="P155" s="94"/>
    </row>
    <row r="156" spans="1:17" ht="30.75" customHeight="1" x14ac:dyDescent="0.2">
      <c r="A156" s="42"/>
      <c r="B156" s="43" t="s">
        <v>35</v>
      </c>
      <c r="C156" s="44" t="s">
        <v>194</v>
      </c>
      <c r="D156" s="45" t="s">
        <v>36</v>
      </c>
      <c r="E156" s="105"/>
      <c r="F156" s="56">
        <v>11805.5</v>
      </c>
      <c r="G156" s="56">
        <f>731.1</f>
        <v>731.1</v>
      </c>
      <c r="H156" s="56">
        <f>SUM(F156)+G156</f>
        <v>12536.6</v>
      </c>
      <c r="I156" s="47">
        <v>0</v>
      </c>
      <c r="J156" s="111"/>
      <c r="K156" s="47">
        <v>0</v>
      </c>
      <c r="L156" s="56">
        <f>SUM(F156)</f>
        <v>11805.5</v>
      </c>
      <c r="M156" s="56">
        <f>SUM(G156)</f>
        <v>731.1</v>
      </c>
      <c r="N156" s="56">
        <f>SUM(H156)</f>
        <v>12536.6</v>
      </c>
      <c r="O156" s="94"/>
      <c r="P156" s="94"/>
    </row>
    <row r="157" spans="1:17" ht="15.75" hidden="1" x14ac:dyDescent="0.2">
      <c r="A157" s="42"/>
      <c r="B157" s="43"/>
      <c r="C157" s="44"/>
      <c r="D157" s="45"/>
      <c r="E157" s="105"/>
      <c r="F157" s="56"/>
      <c r="G157" s="56"/>
      <c r="H157" s="56"/>
      <c r="I157" s="47"/>
      <c r="J157" s="111"/>
      <c r="K157" s="111"/>
      <c r="L157" s="56"/>
      <c r="M157" s="56">
        <f t="shared" ref="M157:N160" si="33">SUM(J157)</f>
        <v>0</v>
      </c>
      <c r="N157" s="56">
        <f t="shared" si="33"/>
        <v>0</v>
      </c>
      <c r="O157" s="94"/>
      <c r="P157" s="94"/>
    </row>
    <row r="158" spans="1:17" ht="31.5" hidden="1" x14ac:dyDescent="0.2">
      <c r="A158" s="42"/>
      <c r="B158" s="43" t="s">
        <v>35</v>
      </c>
      <c r="C158" s="44"/>
      <c r="D158" s="45" t="s">
        <v>36</v>
      </c>
      <c r="E158" s="105"/>
      <c r="F158" s="56"/>
      <c r="G158" s="56"/>
      <c r="H158" s="56"/>
      <c r="I158" s="47"/>
      <c r="J158" s="111"/>
      <c r="K158" s="47">
        <f>SUM(J158)</f>
        <v>0</v>
      </c>
      <c r="L158" s="56"/>
      <c r="M158" s="56">
        <f t="shared" si="33"/>
        <v>0</v>
      </c>
      <c r="N158" s="56">
        <f t="shared" si="33"/>
        <v>0</v>
      </c>
      <c r="O158" s="94"/>
      <c r="P158" s="94"/>
    </row>
    <row r="159" spans="1:17" ht="15.75" hidden="1" x14ac:dyDescent="0.2">
      <c r="A159" s="42"/>
      <c r="B159" s="43"/>
      <c r="C159" s="44"/>
      <c r="D159" s="45"/>
      <c r="E159" s="105"/>
      <c r="F159" s="56"/>
      <c r="G159" s="56"/>
      <c r="H159" s="56"/>
      <c r="I159" s="47"/>
      <c r="J159" s="111"/>
      <c r="K159" s="111"/>
      <c r="L159" s="56"/>
      <c r="M159" s="56">
        <f t="shared" si="33"/>
        <v>0</v>
      </c>
      <c r="N159" s="56">
        <f t="shared" si="33"/>
        <v>0</v>
      </c>
      <c r="O159" s="94"/>
      <c r="P159" s="94"/>
    </row>
    <row r="160" spans="1:17" ht="31.5" hidden="1" x14ac:dyDescent="0.2">
      <c r="A160" s="42"/>
      <c r="B160" s="43" t="s">
        <v>35</v>
      </c>
      <c r="C160" s="44"/>
      <c r="D160" s="45" t="s">
        <v>36</v>
      </c>
      <c r="E160" s="105"/>
      <c r="F160" s="56"/>
      <c r="G160" s="56"/>
      <c r="H160" s="56"/>
      <c r="I160" s="47"/>
      <c r="J160" s="111"/>
      <c r="K160" s="111"/>
      <c r="L160" s="56"/>
      <c r="M160" s="56">
        <f t="shared" si="33"/>
        <v>0</v>
      </c>
      <c r="N160" s="56">
        <f t="shared" si="33"/>
        <v>0</v>
      </c>
      <c r="O160" s="94"/>
      <c r="P160" s="94"/>
    </row>
    <row r="161" spans="1:16" ht="110.25" x14ac:dyDescent="0.2">
      <c r="A161" s="42"/>
      <c r="B161" s="43" t="s">
        <v>453</v>
      </c>
      <c r="C161" s="44" t="s">
        <v>452</v>
      </c>
      <c r="D161" s="45"/>
      <c r="E161" s="105"/>
      <c r="F161" s="56">
        <f>SUM(F162)</f>
        <v>66.400000000000006</v>
      </c>
      <c r="G161" s="56">
        <f>SUM(G162)</f>
        <v>0</v>
      </c>
      <c r="H161" s="56">
        <f>SUM(F161)</f>
        <v>66.400000000000006</v>
      </c>
      <c r="I161" s="47">
        <f>SUM(I162)</f>
        <v>1260</v>
      </c>
      <c r="J161" s="111">
        <f>SUM(J162)</f>
        <v>0</v>
      </c>
      <c r="K161" s="47">
        <f>SUM(I161)</f>
        <v>1260</v>
      </c>
      <c r="L161" s="56">
        <f>SUM(F161+I161)</f>
        <v>1326.4</v>
      </c>
      <c r="M161" s="56">
        <f>SUM(J161)+G161</f>
        <v>0</v>
      </c>
      <c r="N161" s="56">
        <f>SUM(K161)+H161</f>
        <v>1326.4</v>
      </c>
      <c r="O161" s="94"/>
      <c r="P161" s="94"/>
    </row>
    <row r="162" spans="1:16" ht="25.5" customHeight="1" x14ac:dyDescent="0.2">
      <c r="A162" s="42"/>
      <c r="B162" s="43" t="s">
        <v>35</v>
      </c>
      <c r="C162" s="44" t="s">
        <v>452</v>
      </c>
      <c r="D162" s="45" t="s">
        <v>36</v>
      </c>
      <c r="E162" s="105"/>
      <c r="F162" s="56">
        <v>66.400000000000006</v>
      </c>
      <c r="G162" s="56"/>
      <c r="H162" s="56">
        <f>SUM(F162)</f>
        <v>66.400000000000006</v>
      </c>
      <c r="I162" s="47">
        <v>1260</v>
      </c>
      <c r="J162" s="111"/>
      <c r="K162" s="47">
        <f>SUM(I162)</f>
        <v>1260</v>
      </c>
      <c r="L162" s="56">
        <f>SUM(F162+I162)</f>
        <v>1326.4</v>
      </c>
      <c r="M162" s="56">
        <f>SUM(J162)+G162</f>
        <v>0</v>
      </c>
      <c r="N162" s="56">
        <f>SUM(K162)+H162</f>
        <v>1326.4</v>
      </c>
      <c r="O162" s="94"/>
      <c r="P162" s="94"/>
    </row>
    <row r="163" spans="1:16" ht="15.75" hidden="1" x14ac:dyDescent="0.2">
      <c r="A163" s="42"/>
      <c r="B163" s="43"/>
      <c r="C163" s="44" t="s">
        <v>317</v>
      </c>
      <c r="D163" s="45"/>
      <c r="E163" s="105"/>
      <c r="F163" s="56"/>
      <c r="G163" s="56"/>
      <c r="H163" s="56"/>
      <c r="I163" s="47"/>
      <c r="J163" s="111"/>
      <c r="K163" s="47"/>
      <c r="L163" s="56"/>
      <c r="M163" s="56"/>
      <c r="N163" s="56"/>
      <c r="O163" s="94"/>
      <c r="P163" s="94"/>
    </row>
    <row r="164" spans="1:16" ht="15.75" hidden="1" x14ac:dyDescent="0.2">
      <c r="A164" s="42"/>
      <c r="B164" s="43"/>
      <c r="C164" s="44" t="s">
        <v>319</v>
      </c>
      <c r="D164" s="45"/>
      <c r="E164" s="105"/>
      <c r="F164" s="56"/>
      <c r="G164" s="56"/>
      <c r="H164" s="56"/>
      <c r="I164" s="47"/>
      <c r="J164" s="111"/>
      <c r="K164" s="47"/>
      <c r="L164" s="56"/>
      <c r="M164" s="56"/>
      <c r="N164" s="56"/>
      <c r="O164" s="94"/>
      <c r="P164" s="94"/>
    </row>
    <row r="165" spans="1:16" ht="15.75" hidden="1" x14ac:dyDescent="0.2">
      <c r="A165" s="42"/>
      <c r="B165" s="43"/>
      <c r="C165" s="44" t="s">
        <v>466</v>
      </c>
      <c r="D165" s="45"/>
      <c r="E165" s="105"/>
      <c r="F165" s="56"/>
      <c r="G165" s="56"/>
      <c r="H165" s="56"/>
      <c r="I165" s="47"/>
      <c r="J165" s="111"/>
      <c r="K165" s="47"/>
      <c r="L165" s="56"/>
      <c r="M165" s="56"/>
      <c r="N165" s="56"/>
      <c r="O165" s="94"/>
      <c r="P165" s="94"/>
    </row>
    <row r="166" spans="1:16" ht="31.5" hidden="1" x14ac:dyDescent="0.2">
      <c r="A166" s="42"/>
      <c r="B166" s="43" t="s">
        <v>35</v>
      </c>
      <c r="C166" s="44" t="s">
        <v>467</v>
      </c>
      <c r="D166" s="45" t="s">
        <v>36</v>
      </c>
      <c r="E166" s="105"/>
      <c r="F166" s="56"/>
      <c r="G166" s="56"/>
      <c r="H166" s="56"/>
      <c r="I166" s="47"/>
      <c r="J166" s="111"/>
      <c r="K166" s="47"/>
      <c r="L166" s="56"/>
      <c r="M166" s="56"/>
      <c r="N166" s="56"/>
      <c r="O166" s="94"/>
      <c r="P166" s="94"/>
    </row>
    <row r="167" spans="1:16" ht="21.6" customHeight="1" x14ac:dyDescent="0.2">
      <c r="A167" s="49"/>
      <c r="B167" s="50" t="s">
        <v>195</v>
      </c>
      <c r="C167" s="51" t="s">
        <v>196</v>
      </c>
      <c r="D167" s="52" t="s">
        <v>26</v>
      </c>
      <c r="E167" s="106"/>
      <c r="F167" s="53">
        <f t="shared" ref="F167:N167" si="34">F168</f>
        <v>7372.5</v>
      </c>
      <c r="G167" s="53">
        <f t="shared" si="34"/>
        <v>1000</v>
      </c>
      <c r="H167" s="53">
        <f t="shared" si="34"/>
        <v>8372.5</v>
      </c>
      <c r="I167" s="54">
        <f t="shared" si="34"/>
        <v>0</v>
      </c>
      <c r="J167" s="53">
        <f t="shared" si="34"/>
        <v>0</v>
      </c>
      <c r="K167" s="54">
        <f t="shared" si="34"/>
        <v>0</v>
      </c>
      <c r="L167" s="53">
        <f t="shared" si="34"/>
        <v>7372.5</v>
      </c>
      <c r="M167" s="53">
        <f t="shared" si="34"/>
        <v>1000</v>
      </c>
      <c r="N167" s="53">
        <f t="shared" si="34"/>
        <v>8372.5</v>
      </c>
      <c r="O167" s="95"/>
      <c r="P167" s="95"/>
    </row>
    <row r="168" spans="1:16" ht="31.5" x14ac:dyDescent="0.2">
      <c r="A168" s="42"/>
      <c r="B168" s="43" t="s">
        <v>197</v>
      </c>
      <c r="C168" s="44" t="s">
        <v>198</v>
      </c>
      <c r="D168" s="45" t="s">
        <v>26</v>
      </c>
      <c r="E168" s="105"/>
      <c r="F168" s="46">
        <f>F169+F171</f>
        <v>7372.5</v>
      </c>
      <c r="G168" s="46">
        <f>G169+G171</f>
        <v>1000</v>
      </c>
      <c r="H168" s="46">
        <f>H169+H171</f>
        <v>8372.5</v>
      </c>
      <c r="I168" s="47">
        <f>I169+I171</f>
        <v>0</v>
      </c>
      <c r="J168" s="88"/>
      <c r="K168" s="47">
        <f>K169+K171</f>
        <v>0</v>
      </c>
      <c r="L168" s="46">
        <f>L169+L171</f>
        <v>7372.5</v>
      </c>
      <c r="M168" s="46">
        <f>M169+M171</f>
        <v>1000</v>
      </c>
      <c r="N168" s="46">
        <f>N169+N171</f>
        <v>8372.5</v>
      </c>
      <c r="O168" s="94"/>
      <c r="P168" s="94"/>
    </row>
    <row r="169" spans="1:16" ht="31.9" customHeight="1" x14ac:dyDescent="0.2">
      <c r="A169" s="42"/>
      <c r="B169" s="43" t="s">
        <v>199</v>
      </c>
      <c r="C169" s="44" t="s">
        <v>200</v>
      </c>
      <c r="D169" s="45" t="s">
        <v>26</v>
      </c>
      <c r="E169" s="105"/>
      <c r="F169" s="46">
        <f>F170</f>
        <v>2400</v>
      </c>
      <c r="G169" s="46">
        <f>G170</f>
        <v>0</v>
      </c>
      <c r="H169" s="46">
        <f>H170</f>
        <v>2400</v>
      </c>
      <c r="I169" s="47">
        <f>I170</f>
        <v>0</v>
      </c>
      <c r="J169" s="88"/>
      <c r="K169" s="47">
        <f>K170</f>
        <v>0</v>
      </c>
      <c r="L169" s="46">
        <f>L170</f>
        <v>2400</v>
      </c>
      <c r="M169" s="46">
        <f>M170</f>
        <v>0</v>
      </c>
      <c r="N169" s="46">
        <f>N170</f>
        <v>2400</v>
      </c>
      <c r="O169" s="94"/>
      <c r="P169" s="94"/>
    </row>
    <row r="170" spans="1:16" ht="31.5" x14ac:dyDescent="0.2">
      <c r="A170" s="42"/>
      <c r="B170" s="43" t="s">
        <v>35</v>
      </c>
      <c r="C170" s="44" t="s">
        <v>200</v>
      </c>
      <c r="D170" s="45" t="s">
        <v>36</v>
      </c>
      <c r="E170" s="105"/>
      <c r="F170" s="46">
        <v>2400</v>
      </c>
      <c r="G170" s="46"/>
      <c r="H170" s="46">
        <v>2400</v>
      </c>
      <c r="I170" s="47">
        <v>0</v>
      </c>
      <c r="J170" s="88"/>
      <c r="K170" s="47">
        <v>0</v>
      </c>
      <c r="L170" s="46">
        <v>2400</v>
      </c>
      <c r="M170" s="46"/>
      <c r="N170" s="46">
        <v>2400</v>
      </c>
      <c r="O170" s="94"/>
      <c r="P170" s="94"/>
    </row>
    <row r="171" spans="1:16" ht="31.5" x14ac:dyDescent="0.2">
      <c r="A171" s="42"/>
      <c r="B171" s="43" t="s">
        <v>201</v>
      </c>
      <c r="C171" s="44" t="s">
        <v>202</v>
      </c>
      <c r="D171" s="45" t="s">
        <v>26</v>
      </c>
      <c r="E171" s="105"/>
      <c r="F171" s="46">
        <f>F172</f>
        <v>4972.5</v>
      </c>
      <c r="G171" s="46">
        <f>G172</f>
        <v>1000</v>
      </c>
      <c r="H171" s="46">
        <f>H172</f>
        <v>5972.5</v>
      </c>
      <c r="I171" s="47">
        <f>I172</f>
        <v>0</v>
      </c>
      <c r="J171" s="88"/>
      <c r="K171" s="47">
        <f>K172</f>
        <v>0</v>
      </c>
      <c r="L171" s="46">
        <f>L172</f>
        <v>4972.5</v>
      </c>
      <c r="M171" s="46">
        <f>M172</f>
        <v>1000</v>
      </c>
      <c r="N171" s="46">
        <f>N172</f>
        <v>5972.5</v>
      </c>
      <c r="O171" s="94"/>
      <c r="P171" s="94"/>
    </row>
    <row r="172" spans="1:16" ht="31.5" x14ac:dyDescent="0.2">
      <c r="A172" s="42"/>
      <c r="B172" s="43" t="s">
        <v>35</v>
      </c>
      <c r="C172" s="44" t="s">
        <v>202</v>
      </c>
      <c r="D172" s="45" t="s">
        <v>36</v>
      </c>
      <c r="E172" s="105"/>
      <c r="F172" s="56">
        <v>4972.5</v>
      </c>
      <c r="G172" s="56">
        <v>1000</v>
      </c>
      <c r="H172" s="56">
        <f>SUM(F172)+G172</f>
        <v>5972.5</v>
      </c>
      <c r="I172" s="47">
        <v>0</v>
      </c>
      <c r="J172" s="111"/>
      <c r="K172" s="47">
        <v>0</v>
      </c>
      <c r="L172" s="56">
        <f>SUM(F172)</f>
        <v>4972.5</v>
      </c>
      <c r="M172" s="56">
        <f>SUM(G172)</f>
        <v>1000</v>
      </c>
      <c r="N172" s="56">
        <f>SUM(H172)</f>
        <v>5972.5</v>
      </c>
      <c r="O172" s="94"/>
      <c r="P172" s="94"/>
    </row>
    <row r="173" spans="1:16" ht="15.75" x14ac:dyDescent="0.2">
      <c r="A173" s="49"/>
      <c r="B173" s="50" t="s">
        <v>203</v>
      </c>
      <c r="C173" s="51" t="s">
        <v>204</v>
      </c>
      <c r="D173" s="52" t="s">
        <v>26</v>
      </c>
      <c r="E173" s="106"/>
      <c r="F173" s="53">
        <f>F174+F177+F187</f>
        <v>116457.9</v>
      </c>
      <c r="G173" s="53">
        <f>G174+G177+G187+G184</f>
        <v>29366.5</v>
      </c>
      <c r="H173" s="53">
        <f>H174+H177+H187+H184</f>
        <v>145824.4</v>
      </c>
      <c r="I173" s="54">
        <f>I174+I177</f>
        <v>0</v>
      </c>
      <c r="J173" s="53">
        <f>J174+J177</f>
        <v>0</v>
      </c>
      <c r="K173" s="54">
        <f>K174+K177</f>
        <v>0</v>
      </c>
      <c r="L173" s="53">
        <f>L174+L177+L187</f>
        <v>116457.9</v>
      </c>
      <c r="M173" s="53">
        <f>M174+M177+M187+M184</f>
        <v>29366.5</v>
      </c>
      <c r="N173" s="53">
        <f>N174+N177+N187+N184</f>
        <v>145824.4</v>
      </c>
      <c r="O173" s="95"/>
      <c r="P173" s="95"/>
    </row>
    <row r="174" spans="1:16" ht="31.5" x14ac:dyDescent="0.2">
      <c r="A174" s="42"/>
      <c r="B174" s="43" t="s">
        <v>205</v>
      </c>
      <c r="C174" s="44" t="s">
        <v>206</v>
      </c>
      <c r="D174" s="45" t="s">
        <v>26</v>
      </c>
      <c r="E174" s="105"/>
      <c r="F174" s="46">
        <f t="shared" ref="F174:N175" si="35">F175</f>
        <v>7768.7</v>
      </c>
      <c r="G174" s="46">
        <f t="shared" si="35"/>
        <v>930.4</v>
      </c>
      <c r="H174" s="46">
        <f t="shared" si="35"/>
        <v>8699.1</v>
      </c>
      <c r="I174" s="47">
        <f t="shared" si="35"/>
        <v>0</v>
      </c>
      <c r="J174" s="88"/>
      <c r="K174" s="47">
        <f t="shared" si="35"/>
        <v>0</v>
      </c>
      <c r="L174" s="46">
        <f t="shared" si="35"/>
        <v>7768.7</v>
      </c>
      <c r="M174" s="46">
        <f t="shared" si="35"/>
        <v>930.4</v>
      </c>
      <c r="N174" s="46">
        <f t="shared" si="35"/>
        <v>8699.1</v>
      </c>
      <c r="O174" s="94"/>
      <c r="P174" s="94"/>
    </row>
    <row r="175" spans="1:16" ht="31.5" x14ac:dyDescent="0.2">
      <c r="A175" s="42"/>
      <c r="B175" s="43" t="s">
        <v>39</v>
      </c>
      <c r="C175" s="44" t="s">
        <v>207</v>
      </c>
      <c r="D175" s="45" t="s">
        <v>26</v>
      </c>
      <c r="E175" s="105"/>
      <c r="F175" s="46">
        <f t="shared" si="35"/>
        <v>7768.7</v>
      </c>
      <c r="G175" s="46">
        <f t="shared" si="35"/>
        <v>930.4</v>
      </c>
      <c r="H175" s="46">
        <f t="shared" si="35"/>
        <v>8699.1</v>
      </c>
      <c r="I175" s="47">
        <f t="shared" si="35"/>
        <v>0</v>
      </c>
      <c r="J175" s="88"/>
      <c r="K175" s="47">
        <f t="shared" si="35"/>
        <v>0</v>
      </c>
      <c r="L175" s="46">
        <f t="shared" si="35"/>
        <v>7768.7</v>
      </c>
      <c r="M175" s="46">
        <f t="shared" si="35"/>
        <v>930.4</v>
      </c>
      <c r="N175" s="46">
        <f t="shared" si="35"/>
        <v>8699.1</v>
      </c>
      <c r="O175" s="94"/>
      <c r="P175" s="94"/>
    </row>
    <row r="176" spans="1:16" ht="31.5" x14ac:dyDescent="0.2">
      <c r="A176" s="42"/>
      <c r="B176" s="43" t="s">
        <v>74</v>
      </c>
      <c r="C176" s="44" t="s">
        <v>207</v>
      </c>
      <c r="D176" s="45" t="s">
        <v>75</v>
      </c>
      <c r="E176" s="105"/>
      <c r="F176" s="46">
        <v>7768.7</v>
      </c>
      <c r="G176" s="46">
        <v>930.4</v>
      </c>
      <c r="H176" s="46">
        <f>7768.7+G176</f>
        <v>8699.1</v>
      </c>
      <c r="I176" s="47">
        <v>0</v>
      </c>
      <c r="J176" s="88"/>
      <c r="K176" s="47">
        <v>0</v>
      </c>
      <c r="L176" s="46">
        <v>7768.7</v>
      </c>
      <c r="M176" s="46">
        <f>SUM(G176)</f>
        <v>930.4</v>
      </c>
      <c r="N176" s="46">
        <f>7768.7+M176</f>
        <v>8699.1</v>
      </c>
      <c r="O176" s="94"/>
      <c r="P176" s="94"/>
    </row>
    <row r="177" spans="1:17" ht="36" customHeight="1" x14ac:dyDescent="0.2">
      <c r="A177" s="42"/>
      <c r="B177" s="43" t="s">
        <v>208</v>
      </c>
      <c r="C177" s="44" t="s">
        <v>209</v>
      </c>
      <c r="D177" s="45" t="s">
        <v>26</v>
      </c>
      <c r="E177" s="105"/>
      <c r="F177" s="46">
        <f>F178+F180+F182</f>
        <v>97182.3</v>
      </c>
      <c r="G177" s="46">
        <f>SUM(G182)+G178+G180</f>
        <v>26186.1</v>
      </c>
      <c r="H177" s="46">
        <f>H178+H180+H182</f>
        <v>123368.4</v>
      </c>
      <c r="I177" s="47">
        <f t="shared" ref="F177:N178" si="36">I178</f>
        <v>0</v>
      </c>
      <c r="J177" s="88"/>
      <c r="K177" s="47">
        <f t="shared" si="36"/>
        <v>0</v>
      </c>
      <c r="L177" s="46">
        <f>L178+L180+L182</f>
        <v>97182.3</v>
      </c>
      <c r="M177" s="46">
        <f>SUM(M182)+M178+M180</f>
        <v>26186.1</v>
      </c>
      <c r="N177" s="46">
        <f>N178+N180+N182</f>
        <v>123368.4</v>
      </c>
      <c r="O177" s="94"/>
      <c r="P177" s="94"/>
    </row>
    <row r="178" spans="1:17" ht="31.5" x14ac:dyDescent="0.2">
      <c r="A178" s="42"/>
      <c r="B178" s="43" t="s">
        <v>39</v>
      </c>
      <c r="C178" s="44" t="s">
        <v>210</v>
      </c>
      <c r="D178" s="45" t="s">
        <v>26</v>
      </c>
      <c r="E178" s="105"/>
      <c r="F178" s="46">
        <f t="shared" si="36"/>
        <v>94103.3</v>
      </c>
      <c r="G178" s="46">
        <f t="shared" si="36"/>
        <v>26186.1</v>
      </c>
      <c r="H178" s="46">
        <f t="shared" si="36"/>
        <v>120289.4</v>
      </c>
      <c r="I178" s="47">
        <f t="shared" si="36"/>
        <v>0</v>
      </c>
      <c r="J178" s="88"/>
      <c r="K178" s="47">
        <f t="shared" si="36"/>
        <v>0</v>
      </c>
      <c r="L178" s="46">
        <f t="shared" si="36"/>
        <v>94103.3</v>
      </c>
      <c r="M178" s="46">
        <f t="shared" si="36"/>
        <v>26186.1</v>
      </c>
      <c r="N178" s="46">
        <f t="shared" si="36"/>
        <v>120289.4</v>
      </c>
      <c r="O178" s="94"/>
      <c r="P178" s="94"/>
    </row>
    <row r="179" spans="1:17" ht="30.75" customHeight="1" x14ac:dyDescent="0.2">
      <c r="A179" s="42"/>
      <c r="B179" s="43" t="s">
        <v>74</v>
      </c>
      <c r="C179" s="44" t="s">
        <v>210</v>
      </c>
      <c r="D179" s="45" t="s">
        <v>75</v>
      </c>
      <c r="E179" s="105"/>
      <c r="F179" s="46">
        <v>94103.3</v>
      </c>
      <c r="G179" s="46">
        <f>6835.3+2582.8+16768</f>
        <v>26186.1</v>
      </c>
      <c r="H179" s="46">
        <f>94103.3+G179</f>
        <v>120289.4</v>
      </c>
      <c r="I179" s="47">
        <v>0</v>
      </c>
      <c r="J179" s="88"/>
      <c r="K179" s="47">
        <v>0</v>
      </c>
      <c r="L179" s="46">
        <f>SUM(F178)</f>
        <v>94103.3</v>
      </c>
      <c r="M179" s="46">
        <f>SUM(G179)</f>
        <v>26186.1</v>
      </c>
      <c r="N179" s="46">
        <f>SUM(H179)</f>
        <v>120289.4</v>
      </c>
      <c r="O179" s="94"/>
      <c r="P179" s="94"/>
    </row>
    <row r="180" spans="1:17" ht="31.5" customHeight="1" x14ac:dyDescent="0.2">
      <c r="A180" s="42"/>
      <c r="B180" s="43" t="s">
        <v>211</v>
      </c>
      <c r="C180" s="44" t="s">
        <v>212</v>
      </c>
      <c r="D180" s="45"/>
      <c r="E180" s="105"/>
      <c r="F180" s="46">
        <v>779</v>
      </c>
      <c r="G180" s="46"/>
      <c r="H180" s="46">
        <f>SUM(F180)</f>
        <v>779</v>
      </c>
      <c r="I180" s="47"/>
      <c r="J180" s="88"/>
      <c r="K180" s="47"/>
      <c r="L180" s="46">
        <f>SUM(F181)</f>
        <v>779</v>
      </c>
      <c r="M180" s="46">
        <f>SUM(G180)</f>
        <v>0</v>
      </c>
      <c r="N180" s="46">
        <f>SUM(L180)</f>
        <v>779</v>
      </c>
      <c r="O180" s="94"/>
      <c r="P180" s="94"/>
    </row>
    <row r="181" spans="1:17" ht="33.75" customHeight="1" x14ac:dyDescent="0.2">
      <c r="A181" s="42"/>
      <c r="B181" s="43" t="s">
        <v>74</v>
      </c>
      <c r="C181" s="44" t="s">
        <v>212</v>
      </c>
      <c r="D181" s="45" t="s">
        <v>75</v>
      </c>
      <c r="E181" s="105"/>
      <c r="F181" s="46">
        <v>779</v>
      </c>
      <c r="G181" s="46"/>
      <c r="H181" s="46">
        <f>SUM(F181)</f>
        <v>779</v>
      </c>
      <c r="I181" s="47"/>
      <c r="J181" s="88"/>
      <c r="K181" s="47"/>
      <c r="L181" s="46">
        <f t="shared" ref="L181:N189" si="37">SUM(F181)</f>
        <v>779</v>
      </c>
      <c r="M181" s="46">
        <f>SUM(G181)</f>
        <v>0</v>
      </c>
      <c r="N181" s="46">
        <f>SUM(L181)</f>
        <v>779</v>
      </c>
      <c r="O181" s="94"/>
      <c r="P181" s="94"/>
    </row>
    <row r="182" spans="1:17" ht="31.5" customHeight="1" x14ac:dyDescent="0.2">
      <c r="A182" s="42"/>
      <c r="B182" s="121" t="s">
        <v>78</v>
      </c>
      <c r="C182" s="44" t="s">
        <v>213</v>
      </c>
      <c r="D182" s="45"/>
      <c r="E182" s="105"/>
      <c r="F182" s="46">
        <v>2300</v>
      </c>
      <c r="G182" s="46">
        <f>SUM(G183)</f>
        <v>0</v>
      </c>
      <c r="H182" s="46">
        <f>SUM(H183)</f>
        <v>2300</v>
      </c>
      <c r="I182" s="47"/>
      <c r="J182" s="88"/>
      <c r="K182" s="47"/>
      <c r="L182" s="46">
        <f t="shared" si="37"/>
        <v>2300</v>
      </c>
      <c r="M182" s="46">
        <f t="shared" si="37"/>
        <v>0</v>
      </c>
      <c r="N182" s="46">
        <f t="shared" si="37"/>
        <v>2300</v>
      </c>
      <c r="O182" s="94"/>
      <c r="P182" s="94"/>
    </row>
    <row r="183" spans="1:17" ht="31.5" customHeight="1" x14ac:dyDescent="0.2">
      <c r="A183" s="42"/>
      <c r="B183" s="43" t="s">
        <v>74</v>
      </c>
      <c r="C183" s="44" t="s">
        <v>213</v>
      </c>
      <c r="D183" s="45" t="s">
        <v>75</v>
      </c>
      <c r="E183" s="105"/>
      <c r="F183" s="46">
        <v>2300</v>
      </c>
      <c r="G183" s="46"/>
      <c r="H183" s="46">
        <f>SUM(F183)</f>
        <v>2300</v>
      </c>
      <c r="I183" s="47"/>
      <c r="J183" s="88"/>
      <c r="K183" s="47"/>
      <c r="L183" s="46">
        <f t="shared" si="37"/>
        <v>2300</v>
      </c>
      <c r="M183" s="46">
        <f t="shared" si="37"/>
        <v>0</v>
      </c>
      <c r="N183" s="46">
        <f t="shared" si="37"/>
        <v>2300</v>
      </c>
      <c r="O183" s="94"/>
      <c r="P183" s="94"/>
    </row>
    <row r="184" spans="1:17" ht="31.5" customHeight="1" x14ac:dyDescent="0.2">
      <c r="A184" s="42"/>
      <c r="B184" s="157" t="s">
        <v>471</v>
      </c>
      <c r="C184" s="44" t="s">
        <v>469</v>
      </c>
      <c r="D184" s="45"/>
      <c r="E184" s="105"/>
      <c r="F184" s="46"/>
      <c r="G184" s="46">
        <f>SUM(G185)</f>
        <v>2250</v>
      </c>
      <c r="H184" s="46">
        <f>SUM(H185)</f>
        <v>2250</v>
      </c>
      <c r="I184" s="47"/>
      <c r="J184" s="88"/>
      <c r="K184" s="47"/>
      <c r="L184" s="46"/>
      <c r="M184" s="46">
        <f>SUM(G184)</f>
        <v>2250</v>
      </c>
      <c r="N184" s="46">
        <f>SUM(M184)</f>
        <v>2250</v>
      </c>
      <c r="O184" s="94"/>
      <c r="P184" s="94"/>
    </row>
    <row r="185" spans="1:17" ht="46.5" customHeight="1" x14ac:dyDescent="0.2">
      <c r="A185" s="42"/>
      <c r="B185" s="158" t="s">
        <v>472</v>
      </c>
      <c r="C185" s="44" t="s">
        <v>470</v>
      </c>
      <c r="D185" s="45"/>
      <c r="E185" s="105"/>
      <c r="F185" s="46"/>
      <c r="G185" s="46">
        <f>SUM(G186)</f>
        <v>2250</v>
      </c>
      <c r="H185" s="46">
        <f>SUM(G185)</f>
        <v>2250</v>
      </c>
      <c r="I185" s="47"/>
      <c r="J185" s="88"/>
      <c r="K185" s="47"/>
      <c r="L185" s="46"/>
      <c r="M185" s="46">
        <f>SUM(G185)</f>
        <v>2250</v>
      </c>
      <c r="N185" s="46">
        <f>SUM(M185)</f>
        <v>2250</v>
      </c>
      <c r="O185" s="94"/>
      <c r="P185" s="94"/>
    </row>
    <row r="186" spans="1:17" ht="31.5" customHeight="1" x14ac:dyDescent="0.2">
      <c r="A186" s="42"/>
      <c r="B186" s="43" t="s">
        <v>74</v>
      </c>
      <c r="C186" s="44" t="s">
        <v>470</v>
      </c>
      <c r="D186" s="45" t="s">
        <v>42</v>
      </c>
      <c r="E186" s="105"/>
      <c r="F186" s="46"/>
      <c r="G186" s="46">
        <v>2250</v>
      </c>
      <c r="H186" s="46">
        <f>SUM(G186)</f>
        <v>2250</v>
      </c>
      <c r="I186" s="47"/>
      <c r="J186" s="88"/>
      <c r="K186" s="47"/>
      <c r="L186" s="46"/>
      <c r="M186" s="46">
        <f>SUM(G186)</f>
        <v>2250</v>
      </c>
      <c r="N186" s="46">
        <f>SUM(M186)</f>
        <v>2250</v>
      </c>
      <c r="O186" s="94"/>
      <c r="P186" s="94"/>
    </row>
    <row r="187" spans="1:17" ht="49.5" customHeight="1" x14ac:dyDescent="0.2">
      <c r="A187" s="42"/>
      <c r="B187" s="119" t="s">
        <v>214</v>
      </c>
      <c r="C187" s="44" t="s">
        <v>215</v>
      </c>
      <c r="D187" s="45"/>
      <c r="E187" s="105"/>
      <c r="F187" s="46">
        <f>SUM(F188)</f>
        <v>11506.9</v>
      </c>
      <c r="G187" s="46">
        <f>SUM(G188)</f>
        <v>0</v>
      </c>
      <c r="H187" s="46">
        <f>SUM(F187)+G187</f>
        <v>11506.9</v>
      </c>
      <c r="I187" s="47"/>
      <c r="J187" s="88"/>
      <c r="K187" s="47"/>
      <c r="L187" s="46">
        <f t="shared" si="37"/>
        <v>11506.9</v>
      </c>
      <c r="M187" s="46">
        <f t="shared" si="37"/>
        <v>0</v>
      </c>
      <c r="N187" s="46">
        <f t="shared" si="37"/>
        <v>11506.9</v>
      </c>
      <c r="O187" s="94"/>
      <c r="P187" s="94"/>
    </row>
    <row r="188" spans="1:17" ht="63" x14ac:dyDescent="0.2">
      <c r="A188" s="42"/>
      <c r="B188" s="120" t="s">
        <v>216</v>
      </c>
      <c r="C188" s="44" t="s">
        <v>217</v>
      </c>
      <c r="D188" s="45"/>
      <c r="E188" s="105"/>
      <c r="F188" s="46">
        <v>11506.9</v>
      </c>
      <c r="G188" s="46">
        <f>SUM(G189)</f>
        <v>0</v>
      </c>
      <c r="H188" s="46">
        <f>SUM(F188)+G188</f>
        <v>11506.9</v>
      </c>
      <c r="I188" s="47"/>
      <c r="J188" s="88"/>
      <c r="K188" s="47"/>
      <c r="L188" s="46">
        <f t="shared" si="37"/>
        <v>11506.9</v>
      </c>
      <c r="M188" s="46">
        <f t="shared" si="37"/>
        <v>0</v>
      </c>
      <c r="N188" s="46">
        <f t="shared" si="37"/>
        <v>11506.9</v>
      </c>
      <c r="O188" s="94"/>
      <c r="P188" s="94"/>
    </row>
    <row r="189" spans="1:17" ht="31.5" x14ac:dyDescent="0.2">
      <c r="A189" s="42"/>
      <c r="B189" s="43" t="s">
        <v>74</v>
      </c>
      <c r="C189" s="44" t="s">
        <v>217</v>
      </c>
      <c r="D189" s="45" t="s">
        <v>42</v>
      </c>
      <c r="E189" s="105"/>
      <c r="F189" s="46">
        <v>11506.9</v>
      </c>
      <c r="G189" s="46"/>
      <c r="H189" s="46">
        <f>SUM(F189)+G189</f>
        <v>11506.9</v>
      </c>
      <c r="I189" s="47"/>
      <c r="J189" s="88"/>
      <c r="K189" s="47"/>
      <c r="L189" s="46">
        <f t="shared" si="37"/>
        <v>11506.9</v>
      </c>
      <c r="M189" s="46">
        <f t="shared" si="37"/>
        <v>0</v>
      </c>
      <c r="N189" s="46">
        <f t="shared" si="37"/>
        <v>11506.9</v>
      </c>
      <c r="O189" s="94"/>
      <c r="P189" s="94"/>
    </row>
    <row r="190" spans="1:17" ht="29.25" customHeight="1" x14ac:dyDescent="0.2">
      <c r="A190" s="19" t="s">
        <v>218</v>
      </c>
      <c r="B190" s="20" t="s">
        <v>219</v>
      </c>
      <c r="C190" s="21" t="s">
        <v>220</v>
      </c>
      <c r="D190" s="22" t="s">
        <v>26</v>
      </c>
      <c r="E190" s="104"/>
      <c r="F190" s="23">
        <f>F201+F206+F215+F219+F195</f>
        <v>9029.4000000000015</v>
      </c>
      <c r="G190" s="46">
        <f>SUM(G196)+G215+G206+G219</f>
        <v>10904.3</v>
      </c>
      <c r="H190" s="23">
        <f>H201+H206+H215+H219+H195+H191</f>
        <v>19933.7</v>
      </c>
      <c r="I190" s="24">
        <f>I201+I206+I215+I219+I195</f>
        <v>12562.4</v>
      </c>
      <c r="J190" s="23">
        <f>J201+J206+J215+J219+J195</f>
        <v>138931.6</v>
      </c>
      <c r="K190" s="24">
        <f>K201+K206+K215+K219+K195</f>
        <v>151494</v>
      </c>
      <c r="L190" s="23">
        <f>SUM(F190+I190)</f>
        <v>21591.800000000003</v>
      </c>
      <c r="M190" s="23">
        <f>SUM(G190+J190)</f>
        <v>149835.9</v>
      </c>
      <c r="N190" s="23">
        <f>SUM(H190+K190)</f>
        <v>171427.7</v>
      </c>
      <c r="O190" s="93"/>
      <c r="P190" s="93"/>
      <c r="Q190" s="25"/>
    </row>
    <row r="191" spans="1:17" ht="15.75" hidden="1" x14ac:dyDescent="0.2">
      <c r="A191" s="19"/>
      <c r="B191" s="50" t="s">
        <v>177</v>
      </c>
      <c r="C191" s="44"/>
      <c r="D191" s="22"/>
      <c r="E191" s="104"/>
      <c r="F191" s="23"/>
      <c r="G191" s="46"/>
      <c r="H191" s="23">
        <f>SUM(G191)</f>
        <v>0</v>
      </c>
      <c r="I191" s="24"/>
      <c r="J191" s="46">
        <f>SUM(J192)</f>
        <v>0</v>
      </c>
      <c r="K191" s="24">
        <f t="shared" ref="K191:K198" si="38">SUM(J191)</f>
        <v>0</v>
      </c>
      <c r="L191" s="23"/>
      <c r="M191" s="23">
        <f>SUM(G191+J191)</f>
        <v>0</v>
      </c>
      <c r="N191" s="23">
        <f>SUM(H191+K191)</f>
        <v>0</v>
      </c>
      <c r="O191" s="93"/>
      <c r="P191" s="93"/>
      <c r="Q191" s="25"/>
    </row>
    <row r="192" spans="1:17" ht="47.25" hidden="1" x14ac:dyDescent="0.2">
      <c r="A192" s="19"/>
      <c r="B192" s="43" t="s">
        <v>179</v>
      </c>
      <c r="C192" s="44" t="s">
        <v>451</v>
      </c>
      <c r="D192" s="22" t="s">
        <v>26</v>
      </c>
      <c r="E192" s="104"/>
      <c r="F192" s="23"/>
      <c r="G192" s="46"/>
      <c r="H192" s="23">
        <f>SUM(G192)</f>
        <v>0</v>
      </c>
      <c r="I192" s="24"/>
      <c r="J192" s="46">
        <f>SUM(J193)</f>
        <v>0</v>
      </c>
      <c r="K192" s="24">
        <f t="shared" si="38"/>
        <v>0</v>
      </c>
      <c r="L192" s="23"/>
      <c r="M192" s="23">
        <f>SUM(J192)+G192</f>
        <v>0</v>
      </c>
      <c r="N192" s="23">
        <f>SUM(M192)</f>
        <v>0</v>
      </c>
      <c r="O192" s="93"/>
      <c r="P192" s="93"/>
      <c r="Q192" s="25"/>
    </row>
    <row r="193" spans="1:17" ht="31.5" hidden="1" x14ac:dyDescent="0.2">
      <c r="A193" s="19"/>
      <c r="B193" s="43" t="s">
        <v>193</v>
      </c>
      <c r="C193" s="44" t="s">
        <v>451</v>
      </c>
      <c r="D193" s="22"/>
      <c r="E193" s="104"/>
      <c r="F193" s="44"/>
      <c r="G193" s="46"/>
      <c r="H193" s="23">
        <f>SUM(G193)</f>
        <v>0</v>
      </c>
      <c r="I193" s="24"/>
      <c r="J193" s="46">
        <f>SUM(J194)</f>
        <v>0</v>
      </c>
      <c r="K193" s="24">
        <f t="shared" si="38"/>
        <v>0</v>
      </c>
      <c r="L193" s="23"/>
      <c r="M193" s="23">
        <f>SUM(J193)+G193</f>
        <v>0</v>
      </c>
      <c r="N193" s="23">
        <f>SUM(M193)</f>
        <v>0</v>
      </c>
      <c r="O193" s="93"/>
      <c r="P193" s="93"/>
      <c r="Q193" s="25"/>
    </row>
    <row r="194" spans="1:17" ht="31.5" hidden="1" x14ac:dyDescent="0.2">
      <c r="A194" s="19"/>
      <c r="B194" s="43" t="s">
        <v>35</v>
      </c>
      <c r="C194" s="44" t="s">
        <v>451</v>
      </c>
      <c r="D194" s="45" t="s">
        <v>36</v>
      </c>
      <c r="E194" s="104"/>
      <c r="F194" s="23"/>
      <c r="G194" s="46"/>
      <c r="H194" s="23">
        <f>SUM(G194)</f>
        <v>0</v>
      </c>
      <c r="I194" s="24"/>
      <c r="J194" s="46"/>
      <c r="K194" s="24">
        <f t="shared" si="38"/>
        <v>0</v>
      </c>
      <c r="L194" s="23"/>
      <c r="M194" s="23">
        <f>SUM(J194)+G194</f>
        <v>0</v>
      </c>
      <c r="N194" s="23">
        <f>SUM(M194)</f>
        <v>0</v>
      </c>
      <c r="O194" s="93"/>
      <c r="P194" s="93"/>
      <c r="Q194" s="25"/>
    </row>
    <row r="195" spans="1:17" ht="15.75" x14ac:dyDescent="0.2">
      <c r="A195" s="19"/>
      <c r="B195" s="50" t="s">
        <v>221</v>
      </c>
      <c r="C195" s="51" t="s">
        <v>222</v>
      </c>
      <c r="D195" s="52"/>
      <c r="E195" s="106"/>
      <c r="F195" s="46">
        <f>F196</f>
        <v>3478.2</v>
      </c>
      <c r="G195" s="46">
        <f>SUM(G196)</f>
        <v>0</v>
      </c>
      <c r="H195" s="46">
        <f>SUM(F195)+G195</f>
        <v>3478.2</v>
      </c>
      <c r="I195" s="46">
        <f>SUM(I196)</f>
        <v>3300</v>
      </c>
      <c r="J195" s="46">
        <f>SUM(J196)</f>
        <v>0</v>
      </c>
      <c r="K195" s="46">
        <f>SUM(K196)</f>
        <v>3300</v>
      </c>
      <c r="L195" s="46">
        <f>SUM(F195)+I195</f>
        <v>6778.2</v>
      </c>
      <c r="M195" s="53">
        <f>SUM(M196)</f>
        <v>0</v>
      </c>
      <c r="N195" s="46">
        <f>SUM(L195+M195)</f>
        <v>6778.2</v>
      </c>
      <c r="O195" s="95"/>
      <c r="P195" s="95"/>
      <c r="Q195" s="25"/>
    </row>
    <row r="196" spans="1:17" ht="19.149999999999999" customHeight="1" x14ac:dyDescent="0.2">
      <c r="A196" s="19"/>
      <c r="B196" s="43" t="s">
        <v>223</v>
      </c>
      <c r="C196" s="44" t="s">
        <v>224</v>
      </c>
      <c r="D196" s="45"/>
      <c r="E196" s="105"/>
      <c r="F196" s="46">
        <f>1914.2+F199</f>
        <v>3478.2</v>
      </c>
      <c r="G196" s="46">
        <f>SUM(G197)+G199</f>
        <v>0</v>
      </c>
      <c r="H196" s="46">
        <f>SUM(F196)+G196</f>
        <v>3478.2</v>
      </c>
      <c r="I196" s="46">
        <f>SUM(I197)+I199</f>
        <v>3300</v>
      </c>
      <c r="J196" s="46"/>
      <c r="K196" s="46">
        <f>SUM(K197)+K199</f>
        <v>3300</v>
      </c>
      <c r="L196" s="46">
        <f>SUM(F196)+I196</f>
        <v>6778.2</v>
      </c>
      <c r="M196" s="46">
        <f>SUM(G196+J196)</f>
        <v>0</v>
      </c>
      <c r="N196" s="46">
        <f>SUM(L196+M196)</f>
        <v>6778.2</v>
      </c>
      <c r="O196" s="94"/>
      <c r="P196" s="94"/>
      <c r="Q196" s="25"/>
    </row>
    <row r="197" spans="1:17" ht="15.75" x14ac:dyDescent="0.2">
      <c r="A197" s="19"/>
      <c r="B197" s="43" t="s">
        <v>67</v>
      </c>
      <c r="C197" s="44" t="s">
        <v>225</v>
      </c>
      <c r="D197" s="45"/>
      <c r="E197" s="105"/>
      <c r="F197" s="46">
        <v>1914.2</v>
      </c>
      <c r="G197" s="46">
        <f>SUM(G198)</f>
        <v>0</v>
      </c>
      <c r="H197" s="46">
        <f>SUM(F197)+G197</f>
        <v>1914.2</v>
      </c>
      <c r="I197" s="47"/>
      <c r="J197" s="46">
        <f>SUM(J198)</f>
        <v>0</v>
      </c>
      <c r="K197" s="47">
        <f t="shared" si="38"/>
        <v>0</v>
      </c>
      <c r="L197" s="46">
        <f>SUM(F197)</f>
        <v>1914.2</v>
      </c>
      <c r="M197" s="46">
        <f>SUM(M198)</f>
        <v>0</v>
      </c>
      <c r="N197" s="46">
        <f>SUM(L197+M197)</f>
        <v>1914.2</v>
      </c>
      <c r="O197" s="94"/>
      <c r="P197" s="94"/>
      <c r="Q197" s="25"/>
    </row>
    <row r="198" spans="1:17" ht="31.5" x14ac:dyDescent="0.2">
      <c r="A198" s="19"/>
      <c r="B198" s="43" t="s">
        <v>35</v>
      </c>
      <c r="C198" s="44" t="s">
        <v>225</v>
      </c>
      <c r="D198" s="45" t="s">
        <v>36</v>
      </c>
      <c r="E198" s="105"/>
      <c r="F198" s="46">
        <v>1914.2</v>
      </c>
      <c r="G198" s="46"/>
      <c r="H198" s="46">
        <f>SUM(F198)+G198</f>
        <v>1914.2</v>
      </c>
      <c r="I198" s="47"/>
      <c r="J198" s="88"/>
      <c r="K198" s="47">
        <f t="shared" si="38"/>
        <v>0</v>
      </c>
      <c r="L198" s="46">
        <f>SUM(F198)</f>
        <v>1914.2</v>
      </c>
      <c r="M198" s="46">
        <f>SUM(G198)+J198</f>
        <v>0</v>
      </c>
      <c r="N198" s="46">
        <f>SUM(H198+K198)</f>
        <v>1914.2</v>
      </c>
      <c r="O198" s="94"/>
      <c r="P198" s="94"/>
      <c r="Q198" s="25"/>
    </row>
    <row r="199" spans="1:17" ht="31.5" x14ac:dyDescent="0.2">
      <c r="A199" s="19"/>
      <c r="B199" s="43" t="s">
        <v>193</v>
      </c>
      <c r="C199" s="44" t="s">
        <v>451</v>
      </c>
      <c r="D199" s="45"/>
      <c r="E199" s="105"/>
      <c r="F199" s="46">
        <v>1564</v>
      </c>
      <c r="G199" s="46"/>
      <c r="H199" s="46">
        <f>SUM(F199)</f>
        <v>1564</v>
      </c>
      <c r="I199" s="47">
        <v>3300</v>
      </c>
      <c r="J199" s="88"/>
      <c r="K199" s="47">
        <f>SUM(I199)</f>
        <v>3300</v>
      </c>
      <c r="L199" s="46">
        <f>SUM(F199+I199)</f>
        <v>4864</v>
      </c>
      <c r="M199" s="46">
        <f>SUM(G199)+J199</f>
        <v>0</v>
      </c>
      <c r="N199" s="46">
        <f>SUM(H199)+K199</f>
        <v>4864</v>
      </c>
      <c r="O199" s="94"/>
      <c r="P199" s="94"/>
      <c r="Q199" s="25"/>
    </row>
    <row r="200" spans="1:17" ht="31.5" x14ac:dyDescent="0.2">
      <c r="A200" s="19"/>
      <c r="B200" s="43" t="s">
        <v>35</v>
      </c>
      <c r="C200" s="44" t="s">
        <v>451</v>
      </c>
      <c r="D200" s="45" t="s">
        <v>36</v>
      </c>
      <c r="E200" s="105"/>
      <c r="F200" s="46">
        <v>1564</v>
      </c>
      <c r="G200" s="46"/>
      <c r="H200" s="46">
        <f>SUM(F200)</f>
        <v>1564</v>
      </c>
      <c r="I200" s="47">
        <v>3300</v>
      </c>
      <c r="J200" s="88"/>
      <c r="K200" s="47">
        <f>SUM(I200)</f>
        <v>3300</v>
      </c>
      <c r="L200" s="46">
        <f>SUM(F200+I200)</f>
        <v>4864</v>
      </c>
      <c r="M200" s="46">
        <f>SUM(G200)+J200</f>
        <v>0</v>
      </c>
      <c r="N200" s="46">
        <f>SUM(H200)+K200</f>
        <v>4864</v>
      </c>
      <c r="O200" s="94"/>
      <c r="P200" s="94"/>
      <c r="Q200" s="25"/>
    </row>
    <row r="201" spans="1:17" ht="31.5" x14ac:dyDescent="0.2">
      <c r="A201" s="49"/>
      <c r="B201" s="72" t="s">
        <v>226</v>
      </c>
      <c r="C201" s="73" t="s">
        <v>227</v>
      </c>
      <c r="D201" s="74" t="s">
        <v>26</v>
      </c>
      <c r="E201" s="107"/>
      <c r="F201" s="75">
        <f t="shared" ref="F201:N202" si="39">F202</f>
        <v>330</v>
      </c>
      <c r="G201" s="75">
        <f t="shared" si="39"/>
        <v>0</v>
      </c>
      <c r="H201" s="75">
        <f t="shared" si="39"/>
        <v>330</v>
      </c>
      <c r="I201" s="76">
        <f t="shared" si="39"/>
        <v>0</v>
      </c>
      <c r="J201" s="112"/>
      <c r="K201" s="76">
        <f t="shared" si="39"/>
        <v>0</v>
      </c>
      <c r="L201" s="75">
        <f t="shared" si="39"/>
        <v>330</v>
      </c>
      <c r="M201" s="75">
        <f t="shared" si="39"/>
        <v>0</v>
      </c>
      <c r="N201" s="75">
        <f t="shared" si="39"/>
        <v>330</v>
      </c>
      <c r="O201" s="96"/>
      <c r="P201" s="96"/>
    </row>
    <row r="202" spans="1:17" ht="31.5" x14ac:dyDescent="0.2">
      <c r="A202" s="42"/>
      <c r="B202" s="43" t="s">
        <v>228</v>
      </c>
      <c r="C202" s="44" t="s">
        <v>229</v>
      </c>
      <c r="D202" s="45" t="s">
        <v>26</v>
      </c>
      <c r="E202" s="105"/>
      <c r="F202" s="46">
        <f t="shared" si="39"/>
        <v>330</v>
      </c>
      <c r="G202" s="46">
        <f t="shared" si="39"/>
        <v>0</v>
      </c>
      <c r="H202" s="46">
        <f t="shared" si="39"/>
        <v>330</v>
      </c>
      <c r="I202" s="47">
        <f t="shared" si="39"/>
        <v>0</v>
      </c>
      <c r="J202" s="88"/>
      <c r="K202" s="47">
        <f t="shared" si="39"/>
        <v>0</v>
      </c>
      <c r="L202" s="46">
        <f t="shared" si="39"/>
        <v>330</v>
      </c>
      <c r="M202" s="46">
        <f t="shared" si="39"/>
        <v>0</v>
      </c>
      <c r="N202" s="46">
        <f t="shared" si="39"/>
        <v>330</v>
      </c>
      <c r="O202" s="94"/>
      <c r="P202" s="94"/>
    </row>
    <row r="203" spans="1:17" ht="31.5" x14ac:dyDescent="0.2">
      <c r="A203" s="42"/>
      <c r="B203" s="43" t="s">
        <v>226</v>
      </c>
      <c r="C203" s="44" t="s">
        <v>230</v>
      </c>
      <c r="D203" s="45" t="s">
        <v>26</v>
      </c>
      <c r="E203" s="105"/>
      <c r="F203" s="46">
        <f>F205+F204</f>
        <v>330</v>
      </c>
      <c r="G203" s="46">
        <f>G205+G204</f>
        <v>0</v>
      </c>
      <c r="H203" s="46">
        <f>H205+H204</f>
        <v>330</v>
      </c>
      <c r="I203" s="47">
        <f>I205+I204</f>
        <v>0</v>
      </c>
      <c r="J203" s="88"/>
      <c r="K203" s="47">
        <f>K205+K204</f>
        <v>0</v>
      </c>
      <c r="L203" s="46">
        <f>L205+L204</f>
        <v>330</v>
      </c>
      <c r="M203" s="46">
        <f>M205+M204</f>
        <v>0</v>
      </c>
      <c r="N203" s="46">
        <f>N205+N204</f>
        <v>330</v>
      </c>
      <c r="O203" s="97"/>
      <c r="P203" s="97"/>
    </row>
    <row r="204" spans="1:17" ht="31.5" x14ac:dyDescent="0.2">
      <c r="A204" s="42"/>
      <c r="B204" s="43" t="s">
        <v>35</v>
      </c>
      <c r="C204" s="44" t="s">
        <v>230</v>
      </c>
      <c r="D204" s="45" t="s">
        <v>36</v>
      </c>
      <c r="E204" s="105"/>
      <c r="F204" s="46">
        <v>200</v>
      </c>
      <c r="G204" s="46"/>
      <c r="H204" s="46">
        <v>200</v>
      </c>
      <c r="I204" s="47">
        <v>0</v>
      </c>
      <c r="J204" s="88"/>
      <c r="K204" s="47">
        <v>0</v>
      </c>
      <c r="L204" s="46">
        <v>200</v>
      </c>
      <c r="M204" s="46"/>
      <c r="N204" s="46">
        <v>200</v>
      </c>
      <c r="O204" s="94"/>
      <c r="P204" s="94"/>
    </row>
    <row r="205" spans="1:17" ht="15.75" x14ac:dyDescent="0.2">
      <c r="A205" s="42"/>
      <c r="B205" s="43" t="s">
        <v>41</v>
      </c>
      <c r="C205" s="44" t="s">
        <v>230</v>
      </c>
      <c r="D205" s="45" t="s">
        <v>42</v>
      </c>
      <c r="E205" s="105"/>
      <c r="F205" s="46">
        <v>130</v>
      </c>
      <c r="G205" s="46"/>
      <c r="H205" s="46">
        <v>130</v>
      </c>
      <c r="I205" s="47">
        <v>0</v>
      </c>
      <c r="J205" s="88"/>
      <c r="K205" s="47">
        <v>0</v>
      </c>
      <c r="L205" s="46">
        <v>130</v>
      </c>
      <c r="M205" s="46"/>
      <c r="N205" s="46">
        <v>130</v>
      </c>
      <c r="O205" s="94"/>
      <c r="P205" s="94"/>
    </row>
    <row r="206" spans="1:17" ht="22.15" customHeight="1" x14ac:dyDescent="0.2">
      <c r="A206" s="49"/>
      <c r="B206" s="50" t="s">
        <v>231</v>
      </c>
      <c r="C206" s="51" t="s">
        <v>232</v>
      </c>
      <c r="D206" s="52" t="s">
        <v>26</v>
      </c>
      <c r="E206" s="106"/>
      <c r="F206" s="53">
        <f t="shared" ref="F206:N207" si="40">F207</f>
        <v>3933.6</v>
      </c>
      <c r="G206" s="53">
        <f t="shared" si="40"/>
        <v>462.5</v>
      </c>
      <c r="H206" s="53">
        <f t="shared" si="40"/>
        <v>4396.1000000000004</v>
      </c>
      <c r="I206" s="54">
        <f t="shared" si="40"/>
        <v>0</v>
      </c>
      <c r="J206" s="53">
        <f t="shared" si="40"/>
        <v>0</v>
      </c>
      <c r="K206" s="54">
        <f t="shared" si="40"/>
        <v>0</v>
      </c>
      <c r="L206" s="53">
        <f t="shared" si="40"/>
        <v>3933.6</v>
      </c>
      <c r="M206" s="53">
        <f t="shared" si="40"/>
        <v>462.5</v>
      </c>
      <c r="N206" s="53">
        <f t="shared" si="40"/>
        <v>4396.1000000000004</v>
      </c>
      <c r="O206" s="95"/>
      <c r="P206" s="95"/>
    </row>
    <row r="207" spans="1:17" ht="34.9" customHeight="1" x14ac:dyDescent="0.2">
      <c r="A207" s="42"/>
      <c r="B207" s="43" t="s">
        <v>233</v>
      </c>
      <c r="C207" s="44" t="s">
        <v>234</v>
      </c>
      <c r="D207" s="45" t="s">
        <v>26</v>
      </c>
      <c r="E207" s="105"/>
      <c r="F207" s="46">
        <f t="shared" si="40"/>
        <v>3933.6</v>
      </c>
      <c r="G207" s="46">
        <f>G208+G213</f>
        <v>462.5</v>
      </c>
      <c r="H207" s="46">
        <f t="shared" si="40"/>
        <v>4396.1000000000004</v>
      </c>
      <c r="I207" s="47">
        <f t="shared" si="40"/>
        <v>0</v>
      </c>
      <c r="J207" s="88"/>
      <c r="K207" s="47">
        <f t="shared" si="40"/>
        <v>0</v>
      </c>
      <c r="L207" s="46">
        <f t="shared" si="40"/>
        <v>3933.6</v>
      </c>
      <c r="M207" s="46">
        <f>SUM(G207)</f>
        <v>462.5</v>
      </c>
      <c r="N207" s="46">
        <f>N208</f>
        <v>4396.1000000000004</v>
      </c>
      <c r="O207" s="94"/>
      <c r="P207" s="94"/>
    </row>
    <row r="208" spans="1:17" ht="31.5" x14ac:dyDescent="0.2">
      <c r="A208" s="42"/>
      <c r="B208" s="43" t="s">
        <v>39</v>
      </c>
      <c r="C208" s="44" t="s">
        <v>235</v>
      </c>
      <c r="D208" s="45" t="s">
        <v>26</v>
      </c>
      <c r="E208" s="105"/>
      <c r="F208" s="46">
        <f>F209+F210</f>
        <v>3933.6</v>
      </c>
      <c r="G208" s="46">
        <f>G209+G210</f>
        <v>462.5</v>
      </c>
      <c r="H208" s="46">
        <f>H209+H210</f>
        <v>4396.1000000000004</v>
      </c>
      <c r="I208" s="47">
        <f>I209+I210</f>
        <v>0</v>
      </c>
      <c r="J208" s="88"/>
      <c r="K208" s="47">
        <f>K209+K210</f>
        <v>0</v>
      </c>
      <c r="L208" s="46">
        <f>L209+L210</f>
        <v>3933.6</v>
      </c>
      <c r="M208" s="46">
        <f>M209+M210</f>
        <v>462.5</v>
      </c>
      <c r="N208" s="46">
        <f>N209+N210</f>
        <v>4396.1000000000004</v>
      </c>
      <c r="O208" s="94"/>
      <c r="P208" s="94"/>
    </row>
    <row r="209" spans="1:16" ht="66" customHeight="1" x14ac:dyDescent="0.2">
      <c r="A209" s="42"/>
      <c r="B209" s="43" t="s">
        <v>31</v>
      </c>
      <c r="C209" s="44" t="s">
        <v>235</v>
      </c>
      <c r="D209" s="45" t="s">
        <v>32</v>
      </c>
      <c r="E209" s="105"/>
      <c r="F209" s="46">
        <v>3788.1</v>
      </c>
      <c r="G209" s="46">
        <v>462.5</v>
      </c>
      <c r="H209" s="46">
        <f>3788.1+G209</f>
        <v>4250.6000000000004</v>
      </c>
      <c r="I209" s="47">
        <v>0</v>
      </c>
      <c r="J209" s="88"/>
      <c r="K209" s="47">
        <v>0</v>
      </c>
      <c r="L209" s="46">
        <v>3788.1</v>
      </c>
      <c r="M209" s="46">
        <f>SUM(G209)</f>
        <v>462.5</v>
      </c>
      <c r="N209" s="46">
        <f>3788.1+M209</f>
        <v>4250.6000000000004</v>
      </c>
      <c r="O209" s="94"/>
      <c r="P209" s="94"/>
    </row>
    <row r="210" spans="1:16" ht="30.75" customHeight="1" x14ac:dyDescent="0.2">
      <c r="A210" s="42"/>
      <c r="B210" s="43" t="s">
        <v>35</v>
      </c>
      <c r="C210" s="44" t="s">
        <v>235</v>
      </c>
      <c r="D210" s="45" t="s">
        <v>36</v>
      </c>
      <c r="E210" s="105"/>
      <c r="F210" s="46">
        <v>145.5</v>
      </c>
      <c r="G210" s="46"/>
      <c r="H210" s="46">
        <v>145.5</v>
      </c>
      <c r="I210" s="47">
        <v>0</v>
      </c>
      <c r="J210" s="88"/>
      <c r="K210" s="47">
        <v>0</v>
      </c>
      <c r="L210" s="46">
        <v>145.5</v>
      </c>
      <c r="M210" s="46"/>
      <c r="N210" s="46">
        <v>145.5</v>
      </c>
      <c r="O210" s="94"/>
      <c r="P210" s="94"/>
    </row>
    <row r="211" spans="1:16" ht="15.75" hidden="1" x14ac:dyDescent="0.2">
      <c r="A211" s="42"/>
      <c r="B211" s="43"/>
      <c r="C211" s="44"/>
      <c r="D211" s="45"/>
      <c r="E211" s="105"/>
      <c r="F211" s="46"/>
      <c r="G211" s="46"/>
      <c r="H211" s="46"/>
      <c r="I211" s="47"/>
      <c r="J211" s="88"/>
      <c r="K211" s="47"/>
      <c r="L211" s="46"/>
      <c r="M211" s="46"/>
      <c r="N211" s="46"/>
      <c r="O211" s="94"/>
      <c r="P211" s="94"/>
    </row>
    <row r="212" spans="1:16" ht="15.75" hidden="1" x14ac:dyDescent="0.2">
      <c r="A212" s="42"/>
      <c r="B212" s="43"/>
      <c r="C212" s="44" t="s">
        <v>457</v>
      </c>
      <c r="D212" s="45"/>
      <c r="E212" s="105"/>
      <c r="F212" s="46"/>
      <c r="G212" s="46"/>
      <c r="H212" s="46"/>
      <c r="I212" s="47"/>
      <c r="J212" s="88"/>
      <c r="K212" s="47"/>
      <c r="L212" s="46"/>
      <c r="M212" s="46"/>
      <c r="N212" s="46"/>
      <c r="O212" s="94"/>
      <c r="P212" s="94"/>
    </row>
    <row r="213" spans="1:16" ht="47.25" x14ac:dyDescent="0.2">
      <c r="A213" s="42"/>
      <c r="B213" s="43" t="s">
        <v>458</v>
      </c>
      <c r="C213" s="44" t="s">
        <v>457</v>
      </c>
      <c r="D213" s="45"/>
      <c r="E213" s="105"/>
      <c r="F213" s="46"/>
      <c r="G213" s="46">
        <f>SUM(G214)</f>
        <v>0</v>
      </c>
      <c r="H213" s="46"/>
      <c r="I213" s="47"/>
      <c r="J213" s="88"/>
      <c r="K213" s="47"/>
      <c r="L213" s="46"/>
      <c r="M213" s="46">
        <f>SUM(G213)</f>
        <v>0</v>
      </c>
      <c r="N213" s="46">
        <f>SUM(H213)</f>
        <v>0</v>
      </c>
      <c r="O213" s="94"/>
      <c r="P213" s="94"/>
    </row>
    <row r="214" spans="1:16" ht="15.75" x14ac:dyDescent="0.2">
      <c r="A214" s="42"/>
      <c r="B214" s="43" t="s">
        <v>278</v>
      </c>
      <c r="C214" s="44" t="s">
        <v>457</v>
      </c>
      <c r="D214" s="45" t="s">
        <v>279</v>
      </c>
      <c r="E214" s="105"/>
      <c r="F214" s="46"/>
      <c r="G214" s="46"/>
      <c r="H214" s="46">
        <f>SUM(G214)</f>
        <v>0</v>
      </c>
      <c r="I214" s="47"/>
      <c r="J214" s="88"/>
      <c r="K214" s="47"/>
      <c r="L214" s="46"/>
      <c r="M214" s="46">
        <f>SUM(G214)</f>
        <v>0</v>
      </c>
      <c r="N214" s="46">
        <f>SUM(H214)</f>
        <v>0</v>
      </c>
      <c r="O214" s="94"/>
      <c r="P214" s="94"/>
    </row>
    <row r="215" spans="1:16" ht="48.6" customHeight="1" x14ac:dyDescent="0.2">
      <c r="A215" s="49"/>
      <c r="B215" s="50" t="s">
        <v>236</v>
      </c>
      <c r="C215" s="51" t="s">
        <v>237</v>
      </c>
      <c r="D215" s="52" t="s">
        <v>26</v>
      </c>
      <c r="E215" s="106"/>
      <c r="F215" s="53">
        <f t="shared" ref="F215:N217" si="41">F216</f>
        <v>800</v>
      </c>
      <c r="G215" s="53">
        <f t="shared" si="41"/>
        <v>0</v>
      </c>
      <c r="H215" s="53">
        <f t="shared" si="41"/>
        <v>800</v>
      </c>
      <c r="I215" s="54">
        <f t="shared" si="41"/>
        <v>0</v>
      </c>
      <c r="J215" s="53">
        <f>J216</f>
        <v>0</v>
      </c>
      <c r="K215" s="54">
        <f t="shared" si="41"/>
        <v>0</v>
      </c>
      <c r="L215" s="53">
        <f t="shared" si="41"/>
        <v>800</v>
      </c>
      <c r="M215" s="53">
        <f t="shared" si="41"/>
        <v>0</v>
      </c>
      <c r="N215" s="53">
        <f t="shared" si="41"/>
        <v>800</v>
      </c>
      <c r="O215" s="95"/>
      <c r="P215" s="95"/>
    </row>
    <row r="216" spans="1:16" ht="33.6" customHeight="1" x14ac:dyDescent="0.2">
      <c r="A216" s="42"/>
      <c r="B216" s="43" t="s">
        <v>238</v>
      </c>
      <c r="C216" s="44" t="s">
        <v>239</v>
      </c>
      <c r="D216" s="45" t="s">
        <v>26</v>
      </c>
      <c r="E216" s="105"/>
      <c r="F216" s="46">
        <f t="shared" si="41"/>
        <v>800</v>
      </c>
      <c r="G216" s="46">
        <f t="shared" si="41"/>
        <v>0</v>
      </c>
      <c r="H216" s="46">
        <f t="shared" si="41"/>
        <v>800</v>
      </c>
      <c r="I216" s="47">
        <f t="shared" si="41"/>
        <v>0</v>
      </c>
      <c r="J216" s="88"/>
      <c r="K216" s="47">
        <f t="shared" si="41"/>
        <v>0</v>
      </c>
      <c r="L216" s="46">
        <f t="shared" si="41"/>
        <v>800</v>
      </c>
      <c r="M216" s="46">
        <f t="shared" si="41"/>
        <v>0</v>
      </c>
      <c r="N216" s="46">
        <f t="shared" si="41"/>
        <v>800</v>
      </c>
      <c r="O216" s="94"/>
      <c r="P216" s="94"/>
    </row>
    <row r="217" spans="1:16" ht="15.75" x14ac:dyDescent="0.2">
      <c r="A217" s="42"/>
      <c r="B217" s="43" t="s">
        <v>240</v>
      </c>
      <c r="C217" s="44" t="s">
        <v>241</v>
      </c>
      <c r="D217" s="45" t="s">
        <v>26</v>
      </c>
      <c r="E217" s="105"/>
      <c r="F217" s="46">
        <f t="shared" si="41"/>
        <v>800</v>
      </c>
      <c r="G217" s="46">
        <f t="shared" si="41"/>
        <v>0</v>
      </c>
      <c r="H217" s="46">
        <f t="shared" si="41"/>
        <v>800</v>
      </c>
      <c r="I217" s="47">
        <f t="shared" si="41"/>
        <v>0</v>
      </c>
      <c r="J217" s="88"/>
      <c r="K217" s="47">
        <f t="shared" si="41"/>
        <v>0</v>
      </c>
      <c r="L217" s="46">
        <f t="shared" si="41"/>
        <v>800</v>
      </c>
      <c r="M217" s="46">
        <f t="shared" si="41"/>
        <v>0</v>
      </c>
      <c r="N217" s="46">
        <f t="shared" si="41"/>
        <v>800</v>
      </c>
      <c r="O217" s="94"/>
      <c r="P217" s="94"/>
    </row>
    <row r="218" spans="1:16" ht="31.5" x14ac:dyDescent="0.2">
      <c r="A218" s="42"/>
      <c r="B218" s="43" t="s">
        <v>35</v>
      </c>
      <c r="C218" s="44" t="s">
        <v>241</v>
      </c>
      <c r="D218" s="45" t="s">
        <v>36</v>
      </c>
      <c r="E218" s="105"/>
      <c r="F218" s="46">
        <v>800</v>
      </c>
      <c r="G218" s="46"/>
      <c r="H218" s="46">
        <v>800</v>
      </c>
      <c r="I218" s="47">
        <v>0</v>
      </c>
      <c r="J218" s="88"/>
      <c r="K218" s="47">
        <v>0</v>
      </c>
      <c r="L218" s="46">
        <f>SUM(F218)</f>
        <v>800</v>
      </c>
      <c r="M218" s="46">
        <f>SUM(G218)</f>
        <v>0</v>
      </c>
      <c r="N218" s="46">
        <f>SUM(H218)</f>
        <v>800</v>
      </c>
      <c r="O218" s="94"/>
      <c r="P218" s="94"/>
    </row>
    <row r="219" spans="1:16" ht="15.75" x14ac:dyDescent="0.2">
      <c r="A219" s="49"/>
      <c r="B219" s="50" t="s">
        <v>140</v>
      </c>
      <c r="C219" s="51" t="s">
        <v>242</v>
      </c>
      <c r="D219" s="52" t="s">
        <v>26</v>
      </c>
      <c r="E219" s="106"/>
      <c r="F219" s="53">
        <f t="shared" ref="F219:N221" si="42">F220</f>
        <v>487.6</v>
      </c>
      <c r="G219" s="53">
        <f t="shared" si="42"/>
        <v>10441.799999999999</v>
      </c>
      <c r="H219" s="53">
        <f t="shared" si="42"/>
        <v>10929.4</v>
      </c>
      <c r="I219" s="54">
        <f t="shared" si="42"/>
        <v>9262.4</v>
      </c>
      <c r="J219" s="53">
        <f>J220</f>
        <v>138931.6</v>
      </c>
      <c r="K219" s="54">
        <f t="shared" si="42"/>
        <v>148194</v>
      </c>
      <c r="L219" s="53">
        <f t="shared" si="42"/>
        <v>9750</v>
      </c>
      <c r="M219" s="53">
        <f t="shared" si="42"/>
        <v>149373.40000000002</v>
      </c>
      <c r="N219" s="53">
        <f t="shared" si="42"/>
        <v>159123.4</v>
      </c>
      <c r="O219" s="95"/>
      <c r="P219" s="95"/>
    </row>
    <row r="220" spans="1:16" ht="31.5" x14ac:dyDescent="0.2">
      <c r="A220" s="42"/>
      <c r="B220" s="43" t="s">
        <v>243</v>
      </c>
      <c r="C220" s="44" t="s">
        <v>244</v>
      </c>
      <c r="D220" s="45" t="s">
        <v>26</v>
      </c>
      <c r="E220" s="105"/>
      <c r="F220" s="46">
        <f t="shared" si="42"/>
        <v>487.6</v>
      </c>
      <c r="G220" s="46">
        <f>G221+G223</f>
        <v>10441.799999999999</v>
      </c>
      <c r="H220" s="46">
        <f>H221+H223</f>
        <v>10929.4</v>
      </c>
      <c r="I220" s="47">
        <f t="shared" si="42"/>
        <v>9262.4</v>
      </c>
      <c r="J220" s="88">
        <v>138931.6</v>
      </c>
      <c r="K220" s="47">
        <f t="shared" si="42"/>
        <v>148194</v>
      </c>
      <c r="L220" s="46">
        <f t="shared" si="42"/>
        <v>9750</v>
      </c>
      <c r="M220" s="46">
        <f>M221+M223</f>
        <v>149373.40000000002</v>
      </c>
      <c r="N220" s="46">
        <f>N221+N223</f>
        <v>159123.4</v>
      </c>
      <c r="O220" s="94"/>
      <c r="P220" s="94"/>
    </row>
    <row r="221" spans="1:16" ht="69.599999999999994" customHeight="1" x14ac:dyDescent="0.2">
      <c r="A221" s="42"/>
      <c r="B221" s="43" t="s">
        <v>245</v>
      </c>
      <c r="C221" s="44" t="s">
        <v>246</v>
      </c>
      <c r="D221" s="45" t="s">
        <v>26</v>
      </c>
      <c r="E221" s="105"/>
      <c r="F221" s="46">
        <f t="shared" si="42"/>
        <v>487.6</v>
      </c>
      <c r="G221" s="46">
        <f t="shared" si="42"/>
        <v>7312.2</v>
      </c>
      <c r="H221" s="46">
        <f t="shared" si="42"/>
        <v>7799.8</v>
      </c>
      <c r="I221" s="47">
        <f t="shared" si="42"/>
        <v>9262.4</v>
      </c>
      <c r="J221" s="88">
        <v>138931.6</v>
      </c>
      <c r="K221" s="47">
        <f t="shared" si="42"/>
        <v>148194</v>
      </c>
      <c r="L221" s="46">
        <f t="shared" si="42"/>
        <v>9750</v>
      </c>
      <c r="M221" s="46">
        <f t="shared" si="42"/>
        <v>146243.80000000002</v>
      </c>
      <c r="N221" s="46">
        <f t="shared" si="42"/>
        <v>155993.79999999999</v>
      </c>
      <c r="O221" s="94"/>
      <c r="P221" s="94"/>
    </row>
    <row r="222" spans="1:16" ht="31.5" x14ac:dyDescent="0.2">
      <c r="A222" s="42"/>
      <c r="B222" s="43" t="s">
        <v>131</v>
      </c>
      <c r="C222" s="44" t="s">
        <v>246</v>
      </c>
      <c r="D222" s="45" t="s">
        <v>132</v>
      </c>
      <c r="E222" s="105"/>
      <c r="F222" s="46">
        <v>487.6</v>
      </c>
      <c r="G222" s="46">
        <v>7312.2</v>
      </c>
      <c r="H222" s="46">
        <f>487.6+G222</f>
        <v>7799.8</v>
      </c>
      <c r="I222" s="47">
        <v>9262.4</v>
      </c>
      <c r="J222" s="88">
        <v>138931.6</v>
      </c>
      <c r="K222" s="47">
        <f>9262.4+J222</f>
        <v>148194</v>
      </c>
      <c r="L222" s="46">
        <f>487.6+I222</f>
        <v>9750</v>
      </c>
      <c r="M222" s="46">
        <f>SUM(G222)+J222</f>
        <v>146243.80000000002</v>
      </c>
      <c r="N222" s="46">
        <f>SUM(H222+K222)</f>
        <v>155993.79999999999</v>
      </c>
      <c r="O222" s="94"/>
      <c r="P222" s="94"/>
    </row>
    <row r="223" spans="1:16" ht="78.75" x14ac:dyDescent="0.2">
      <c r="A223" s="42"/>
      <c r="B223" s="156" t="s">
        <v>462</v>
      </c>
      <c r="C223" s="44" t="s">
        <v>461</v>
      </c>
      <c r="D223" s="45"/>
      <c r="E223" s="105"/>
      <c r="F223" s="46"/>
      <c r="G223" s="46">
        <v>3129.6</v>
      </c>
      <c r="H223" s="46">
        <f>SUM(G223)</f>
        <v>3129.6</v>
      </c>
      <c r="I223" s="47"/>
      <c r="J223" s="88"/>
      <c r="K223" s="47"/>
      <c r="L223" s="46"/>
      <c r="M223" s="46">
        <f>SUM(G223)</f>
        <v>3129.6</v>
      </c>
      <c r="N223" s="46">
        <f>SUM(H223)</f>
        <v>3129.6</v>
      </c>
      <c r="O223" s="94"/>
      <c r="P223" s="94"/>
    </row>
    <row r="224" spans="1:16" ht="31.5" x14ac:dyDescent="0.2">
      <c r="A224" s="42"/>
      <c r="B224" s="43" t="s">
        <v>131</v>
      </c>
      <c r="C224" s="44" t="s">
        <v>461</v>
      </c>
      <c r="D224" s="45" t="s">
        <v>132</v>
      </c>
      <c r="E224" s="105"/>
      <c r="F224" s="46"/>
      <c r="G224" s="46">
        <v>3129.6</v>
      </c>
      <c r="H224" s="46">
        <f>SUM(G224)</f>
        <v>3129.6</v>
      </c>
      <c r="I224" s="47"/>
      <c r="J224" s="88"/>
      <c r="K224" s="47"/>
      <c r="L224" s="46"/>
      <c r="M224" s="46">
        <f>SUM(G224)</f>
        <v>3129.6</v>
      </c>
      <c r="N224" s="46">
        <f>SUM(H224)</f>
        <v>3129.6</v>
      </c>
      <c r="O224" s="94"/>
      <c r="P224" s="94"/>
    </row>
    <row r="225" spans="1:17" ht="31.5" x14ac:dyDescent="0.2">
      <c r="A225" s="19" t="s">
        <v>247</v>
      </c>
      <c r="B225" s="20" t="s">
        <v>248</v>
      </c>
      <c r="C225" s="21" t="s">
        <v>249</v>
      </c>
      <c r="D225" s="22" t="s">
        <v>26</v>
      </c>
      <c r="E225" s="104"/>
      <c r="F225" s="23">
        <f t="shared" ref="F225:N225" si="43">F226+F230</f>
        <v>5236</v>
      </c>
      <c r="G225" s="23">
        <f t="shared" si="43"/>
        <v>230</v>
      </c>
      <c r="H225" s="23">
        <f t="shared" si="43"/>
        <v>5466</v>
      </c>
      <c r="I225" s="24">
        <f t="shared" si="43"/>
        <v>0</v>
      </c>
      <c r="J225" s="23">
        <f t="shared" si="43"/>
        <v>0</v>
      </c>
      <c r="K225" s="24">
        <f t="shared" si="43"/>
        <v>0</v>
      </c>
      <c r="L225" s="23">
        <f t="shared" si="43"/>
        <v>5236</v>
      </c>
      <c r="M225" s="23">
        <f t="shared" si="43"/>
        <v>230</v>
      </c>
      <c r="N225" s="23">
        <f t="shared" si="43"/>
        <v>5466</v>
      </c>
      <c r="O225" s="93"/>
      <c r="P225" s="93"/>
    </row>
    <row r="226" spans="1:17" ht="15.75" x14ac:dyDescent="0.2">
      <c r="A226" s="49"/>
      <c r="B226" s="50" t="s">
        <v>250</v>
      </c>
      <c r="C226" s="51" t="s">
        <v>251</v>
      </c>
      <c r="D226" s="52" t="s">
        <v>26</v>
      </c>
      <c r="E226" s="106"/>
      <c r="F226" s="53">
        <f t="shared" ref="F226:N228" si="44">F227</f>
        <v>3500</v>
      </c>
      <c r="G226" s="53">
        <f t="shared" si="44"/>
        <v>0</v>
      </c>
      <c r="H226" s="53">
        <f t="shared" si="44"/>
        <v>3500</v>
      </c>
      <c r="I226" s="54">
        <f t="shared" si="44"/>
        <v>0</v>
      </c>
      <c r="J226" s="53">
        <f>J227</f>
        <v>0</v>
      </c>
      <c r="K226" s="54">
        <f t="shared" si="44"/>
        <v>0</v>
      </c>
      <c r="L226" s="53">
        <f t="shared" si="44"/>
        <v>3500</v>
      </c>
      <c r="M226" s="53">
        <f t="shared" si="44"/>
        <v>0</v>
      </c>
      <c r="N226" s="53">
        <f t="shared" si="44"/>
        <v>3500</v>
      </c>
      <c r="O226" s="95"/>
      <c r="P226" s="95"/>
    </row>
    <row r="227" spans="1:17" ht="31.5" x14ac:dyDescent="0.2">
      <c r="A227" s="42"/>
      <c r="B227" s="43" t="s">
        <v>252</v>
      </c>
      <c r="C227" s="44" t="s">
        <v>253</v>
      </c>
      <c r="D227" s="45" t="s">
        <v>26</v>
      </c>
      <c r="E227" s="105"/>
      <c r="F227" s="46">
        <f t="shared" si="44"/>
        <v>3500</v>
      </c>
      <c r="G227" s="46">
        <f t="shared" si="44"/>
        <v>0</v>
      </c>
      <c r="H227" s="46">
        <f t="shared" si="44"/>
        <v>3500</v>
      </c>
      <c r="I227" s="47">
        <f t="shared" si="44"/>
        <v>0</v>
      </c>
      <c r="J227" s="88"/>
      <c r="K227" s="47">
        <f t="shared" si="44"/>
        <v>0</v>
      </c>
      <c r="L227" s="46">
        <f t="shared" si="44"/>
        <v>3500</v>
      </c>
      <c r="M227" s="46">
        <f t="shared" si="44"/>
        <v>0</v>
      </c>
      <c r="N227" s="46">
        <f t="shared" si="44"/>
        <v>3500</v>
      </c>
      <c r="O227" s="94"/>
      <c r="P227" s="94"/>
    </row>
    <row r="228" spans="1:17" ht="31.5" x14ac:dyDescent="0.2">
      <c r="A228" s="42"/>
      <c r="B228" s="43" t="s">
        <v>254</v>
      </c>
      <c r="C228" s="44" t="s">
        <v>255</v>
      </c>
      <c r="D228" s="45" t="s">
        <v>26</v>
      </c>
      <c r="E228" s="105"/>
      <c r="F228" s="46">
        <f t="shared" si="44"/>
        <v>3500</v>
      </c>
      <c r="G228" s="46">
        <f t="shared" si="44"/>
        <v>0</v>
      </c>
      <c r="H228" s="46">
        <f t="shared" si="44"/>
        <v>3500</v>
      </c>
      <c r="I228" s="47">
        <f t="shared" si="44"/>
        <v>0</v>
      </c>
      <c r="J228" s="88"/>
      <c r="K228" s="47">
        <f t="shared" si="44"/>
        <v>0</v>
      </c>
      <c r="L228" s="46">
        <f t="shared" si="44"/>
        <v>3500</v>
      </c>
      <c r="M228" s="46">
        <f t="shared" si="44"/>
        <v>0</v>
      </c>
      <c r="N228" s="46">
        <f t="shared" si="44"/>
        <v>3500</v>
      </c>
      <c r="O228" s="94"/>
      <c r="P228" s="94"/>
    </row>
    <row r="229" spans="1:17" ht="31.5" x14ac:dyDescent="0.2">
      <c r="A229" s="42"/>
      <c r="B229" s="43" t="s">
        <v>35</v>
      </c>
      <c r="C229" s="44" t="s">
        <v>255</v>
      </c>
      <c r="D229" s="45" t="s">
        <v>36</v>
      </c>
      <c r="E229" s="105"/>
      <c r="F229" s="46">
        <v>3500</v>
      </c>
      <c r="G229" s="46"/>
      <c r="H229" s="46">
        <v>3500</v>
      </c>
      <c r="I229" s="47">
        <v>0</v>
      </c>
      <c r="J229" s="88"/>
      <c r="K229" s="47">
        <v>0</v>
      </c>
      <c r="L229" s="46">
        <v>3500</v>
      </c>
      <c r="M229" s="46"/>
      <c r="N229" s="46">
        <v>3500</v>
      </c>
      <c r="O229" s="94"/>
      <c r="P229" s="94"/>
    </row>
    <row r="230" spans="1:17" ht="15.75" x14ac:dyDescent="0.2">
      <c r="A230" s="49"/>
      <c r="B230" s="50" t="s">
        <v>256</v>
      </c>
      <c r="C230" s="51" t="s">
        <v>257</v>
      </c>
      <c r="D230" s="52" t="s">
        <v>26</v>
      </c>
      <c r="E230" s="106"/>
      <c r="F230" s="53">
        <f t="shared" ref="F230:N232" si="45">F231</f>
        <v>1736</v>
      </c>
      <c r="G230" s="53">
        <f t="shared" si="45"/>
        <v>230</v>
      </c>
      <c r="H230" s="53">
        <f t="shared" si="45"/>
        <v>1966</v>
      </c>
      <c r="I230" s="54">
        <f t="shared" si="45"/>
        <v>0</v>
      </c>
      <c r="J230" s="53">
        <f>J231</f>
        <v>0</v>
      </c>
      <c r="K230" s="54">
        <f t="shared" si="45"/>
        <v>0</v>
      </c>
      <c r="L230" s="53">
        <f t="shared" si="45"/>
        <v>1736</v>
      </c>
      <c r="M230" s="53">
        <f t="shared" si="45"/>
        <v>230</v>
      </c>
      <c r="N230" s="53">
        <f t="shared" si="45"/>
        <v>1966</v>
      </c>
      <c r="O230" s="95"/>
      <c r="P230" s="95"/>
    </row>
    <row r="231" spans="1:17" ht="31.5" x14ac:dyDescent="0.2">
      <c r="A231" s="42"/>
      <c r="B231" s="43" t="s">
        <v>258</v>
      </c>
      <c r="C231" s="44" t="s">
        <v>259</v>
      </c>
      <c r="D231" s="45" t="s">
        <v>26</v>
      </c>
      <c r="E231" s="105"/>
      <c r="F231" s="46">
        <f t="shared" si="45"/>
        <v>1736</v>
      </c>
      <c r="G231" s="46">
        <f t="shared" si="45"/>
        <v>230</v>
      </c>
      <c r="H231" s="46">
        <f t="shared" si="45"/>
        <v>1966</v>
      </c>
      <c r="I231" s="47">
        <f t="shared" si="45"/>
        <v>0</v>
      </c>
      <c r="J231" s="88"/>
      <c r="K231" s="47">
        <f t="shared" si="45"/>
        <v>0</v>
      </c>
      <c r="L231" s="46">
        <f t="shared" si="45"/>
        <v>1736</v>
      </c>
      <c r="M231" s="46">
        <f t="shared" si="45"/>
        <v>230</v>
      </c>
      <c r="N231" s="46">
        <f t="shared" si="45"/>
        <v>1966</v>
      </c>
      <c r="O231" s="94"/>
      <c r="P231" s="94"/>
    </row>
    <row r="232" spans="1:17" ht="31.5" x14ac:dyDescent="0.2">
      <c r="A232" s="42"/>
      <c r="B232" s="43" t="s">
        <v>254</v>
      </c>
      <c r="C232" s="44" t="s">
        <v>260</v>
      </c>
      <c r="D232" s="45" t="s">
        <v>26</v>
      </c>
      <c r="E232" s="105"/>
      <c r="F232" s="46">
        <f t="shared" si="45"/>
        <v>1736</v>
      </c>
      <c r="G232" s="46">
        <f t="shared" si="45"/>
        <v>230</v>
      </c>
      <c r="H232" s="46">
        <f t="shared" si="45"/>
        <v>1966</v>
      </c>
      <c r="I232" s="47">
        <f t="shared" si="45"/>
        <v>0</v>
      </c>
      <c r="J232" s="88"/>
      <c r="K232" s="47">
        <f t="shared" si="45"/>
        <v>0</v>
      </c>
      <c r="L232" s="46">
        <f t="shared" si="45"/>
        <v>1736</v>
      </c>
      <c r="M232" s="46">
        <f t="shared" si="45"/>
        <v>230</v>
      </c>
      <c r="N232" s="46">
        <f t="shared" si="45"/>
        <v>1966</v>
      </c>
      <c r="O232" s="94"/>
      <c r="P232" s="94"/>
    </row>
    <row r="233" spans="1:17" ht="63" x14ac:dyDescent="0.2">
      <c r="A233" s="42"/>
      <c r="B233" s="43" t="s">
        <v>261</v>
      </c>
      <c r="C233" s="44" t="s">
        <v>260</v>
      </c>
      <c r="D233" s="45" t="s">
        <v>36</v>
      </c>
      <c r="E233" s="105"/>
      <c r="F233" s="46">
        <v>1736</v>
      </c>
      <c r="G233" s="46">
        <v>230</v>
      </c>
      <c r="H233" s="46">
        <f>1736+G233</f>
        <v>1966</v>
      </c>
      <c r="I233" s="47">
        <v>0</v>
      </c>
      <c r="J233" s="88"/>
      <c r="K233" s="47">
        <v>0</v>
      </c>
      <c r="L233" s="46">
        <v>1736</v>
      </c>
      <c r="M233" s="46">
        <f>SUM(G233)</f>
        <v>230</v>
      </c>
      <c r="N233" s="46">
        <f>1736+M233</f>
        <v>1966</v>
      </c>
      <c r="O233" s="94"/>
      <c r="P233" s="94"/>
    </row>
    <row r="234" spans="1:17" ht="31.5" x14ac:dyDescent="0.2">
      <c r="A234" s="19" t="s">
        <v>262</v>
      </c>
      <c r="B234" s="20" t="s">
        <v>263</v>
      </c>
      <c r="C234" s="21" t="s">
        <v>264</v>
      </c>
      <c r="D234" s="22" t="s">
        <v>26</v>
      </c>
      <c r="E234" s="104"/>
      <c r="F234" s="23">
        <f t="shared" ref="F234:N234" si="46">F235+F257+F261+F267+F271</f>
        <v>43258.100000000006</v>
      </c>
      <c r="G234" s="23">
        <f t="shared" si="46"/>
        <v>1417.5</v>
      </c>
      <c r="H234" s="23">
        <f t="shared" si="46"/>
        <v>44675.600000000006</v>
      </c>
      <c r="I234" s="24">
        <f t="shared" si="46"/>
        <v>0</v>
      </c>
      <c r="J234" s="23">
        <f t="shared" si="46"/>
        <v>0</v>
      </c>
      <c r="K234" s="24">
        <f t="shared" si="46"/>
        <v>0</v>
      </c>
      <c r="L234" s="23">
        <f t="shared" si="46"/>
        <v>43258.100000000006</v>
      </c>
      <c r="M234" s="23">
        <f t="shared" si="46"/>
        <v>1417.5</v>
      </c>
      <c r="N234" s="23">
        <f t="shared" si="46"/>
        <v>44675.600000000006</v>
      </c>
      <c r="O234" s="93"/>
      <c r="P234" s="93"/>
      <c r="Q234" s="25"/>
    </row>
    <row r="235" spans="1:17" ht="49.9" customHeight="1" x14ac:dyDescent="0.2">
      <c r="A235" s="49"/>
      <c r="B235" s="50" t="s">
        <v>265</v>
      </c>
      <c r="C235" s="51" t="s">
        <v>266</v>
      </c>
      <c r="D235" s="52" t="s">
        <v>26</v>
      </c>
      <c r="E235" s="106"/>
      <c r="F235" s="53">
        <f t="shared" ref="F235:N235" si="47">F236+F247+F250</f>
        <v>33453.9</v>
      </c>
      <c r="G235" s="53">
        <f t="shared" si="47"/>
        <v>1045.5</v>
      </c>
      <c r="H235" s="53">
        <f t="shared" si="47"/>
        <v>34499.4</v>
      </c>
      <c r="I235" s="54">
        <f t="shared" si="47"/>
        <v>0</v>
      </c>
      <c r="J235" s="53">
        <f t="shared" si="47"/>
        <v>0</v>
      </c>
      <c r="K235" s="54">
        <f t="shared" si="47"/>
        <v>0</v>
      </c>
      <c r="L235" s="53">
        <f t="shared" si="47"/>
        <v>33453.9</v>
      </c>
      <c r="M235" s="53">
        <f t="shared" si="47"/>
        <v>1045.5</v>
      </c>
      <c r="N235" s="53">
        <f t="shared" si="47"/>
        <v>34499.4</v>
      </c>
      <c r="O235" s="95"/>
      <c r="P235" s="95"/>
      <c r="Q235" s="55"/>
    </row>
    <row r="236" spans="1:17" ht="50.45" customHeight="1" x14ac:dyDescent="0.2">
      <c r="A236" s="42"/>
      <c r="B236" s="43" t="s">
        <v>267</v>
      </c>
      <c r="C236" s="44" t="s">
        <v>268</v>
      </c>
      <c r="D236" s="45" t="s">
        <v>26</v>
      </c>
      <c r="E236" s="105"/>
      <c r="F236" s="46">
        <f>F237+F241+F245+F243</f>
        <v>18353.2</v>
      </c>
      <c r="G236" s="46">
        <f>G237+G241+G245+G243</f>
        <v>1045.5</v>
      </c>
      <c r="H236" s="46">
        <f>H237+H241+H245+H243</f>
        <v>19398.7</v>
      </c>
      <c r="I236" s="47">
        <f>I237+I241+I245</f>
        <v>0</v>
      </c>
      <c r="J236" s="88"/>
      <c r="K236" s="47">
        <f>K237+K241+K245</f>
        <v>0</v>
      </c>
      <c r="L236" s="46">
        <v>18353.2</v>
      </c>
      <c r="M236" s="46">
        <f>M237+M241+M245+M243</f>
        <v>1045.5</v>
      </c>
      <c r="N236" s="46">
        <f>18353.2+M236</f>
        <v>19398.7</v>
      </c>
      <c r="O236" s="94"/>
      <c r="P236" s="94"/>
      <c r="Q236" s="48"/>
    </row>
    <row r="237" spans="1:17" ht="31.5" x14ac:dyDescent="0.2">
      <c r="A237" s="42"/>
      <c r="B237" s="43" t="s">
        <v>39</v>
      </c>
      <c r="C237" s="44" t="s">
        <v>269</v>
      </c>
      <c r="D237" s="45" t="s">
        <v>26</v>
      </c>
      <c r="E237" s="105"/>
      <c r="F237" s="46">
        <f>F238+F239+F240</f>
        <v>10923</v>
      </c>
      <c r="G237" s="46">
        <f>SUM(G239)+G238</f>
        <v>1045.5</v>
      </c>
      <c r="H237" s="46">
        <f>H238+H239+H240</f>
        <v>11968.5</v>
      </c>
      <c r="I237" s="47">
        <f>I238+I239+I240</f>
        <v>0</v>
      </c>
      <c r="J237" s="88"/>
      <c r="K237" s="47">
        <f>K238+K239+K240</f>
        <v>0</v>
      </c>
      <c r="L237" s="46">
        <f>L238+L239+L240</f>
        <v>10923</v>
      </c>
      <c r="M237" s="46">
        <f>SUM(G237)</f>
        <v>1045.5</v>
      </c>
      <c r="N237" s="46">
        <f>N238+N239+N240</f>
        <v>11968.5</v>
      </c>
      <c r="O237" s="94"/>
      <c r="P237" s="94"/>
    </row>
    <row r="238" spans="1:17" ht="64.900000000000006" customHeight="1" x14ac:dyDescent="0.2">
      <c r="A238" s="42"/>
      <c r="B238" s="43" t="s">
        <v>31</v>
      </c>
      <c r="C238" s="44" t="s">
        <v>269</v>
      </c>
      <c r="D238" s="45" t="s">
        <v>32</v>
      </c>
      <c r="E238" s="105"/>
      <c r="F238" s="46">
        <v>9374.7000000000007</v>
      </c>
      <c r="G238" s="46">
        <v>1045.5</v>
      </c>
      <c r="H238" s="46">
        <f>9374.7+G238</f>
        <v>10420.200000000001</v>
      </c>
      <c r="I238" s="47">
        <v>0</v>
      </c>
      <c r="J238" s="88"/>
      <c r="K238" s="47">
        <v>0</v>
      </c>
      <c r="L238" s="46">
        <f t="shared" ref="L238:N239" si="48">SUM(F238)</f>
        <v>9374.7000000000007</v>
      </c>
      <c r="M238" s="46">
        <f t="shared" si="48"/>
        <v>1045.5</v>
      </c>
      <c r="N238" s="46">
        <f t="shared" si="48"/>
        <v>10420.200000000001</v>
      </c>
      <c r="O238" s="94"/>
      <c r="P238" s="94"/>
    </row>
    <row r="239" spans="1:17" ht="31.5" x14ac:dyDescent="0.2">
      <c r="A239" s="42"/>
      <c r="B239" s="43" t="s">
        <v>35</v>
      </c>
      <c r="C239" s="44" t="s">
        <v>269</v>
      </c>
      <c r="D239" s="45" t="s">
        <v>36</v>
      </c>
      <c r="E239" s="105"/>
      <c r="F239" s="46">
        <v>1525.3</v>
      </c>
      <c r="G239" s="46"/>
      <c r="H239" s="46">
        <v>1525.3</v>
      </c>
      <c r="I239" s="47">
        <v>0</v>
      </c>
      <c r="J239" s="88"/>
      <c r="K239" s="47">
        <v>0</v>
      </c>
      <c r="L239" s="46">
        <f t="shared" si="48"/>
        <v>1525.3</v>
      </c>
      <c r="M239" s="46">
        <f t="shared" si="48"/>
        <v>0</v>
      </c>
      <c r="N239" s="46">
        <f t="shared" si="48"/>
        <v>1525.3</v>
      </c>
      <c r="O239" s="94"/>
      <c r="P239" s="94"/>
    </row>
    <row r="240" spans="1:17" ht="15.75" x14ac:dyDescent="0.2">
      <c r="A240" s="42"/>
      <c r="B240" s="43" t="s">
        <v>41</v>
      </c>
      <c r="C240" s="44" t="s">
        <v>269</v>
      </c>
      <c r="D240" s="45" t="s">
        <v>42</v>
      </c>
      <c r="E240" s="105"/>
      <c r="F240" s="46">
        <v>23</v>
      </c>
      <c r="G240" s="46"/>
      <c r="H240" s="46">
        <v>23</v>
      </c>
      <c r="I240" s="47">
        <v>0</v>
      </c>
      <c r="J240" s="88"/>
      <c r="K240" s="47">
        <v>0</v>
      </c>
      <c r="L240" s="46">
        <v>23</v>
      </c>
      <c r="M240" s="46"/>
      <c r="N240" s="46">
        <v>23</v>
      </c>
      <c r="O240" s="94"/>
      <c r="P240" s="94"/>
    </row>
    <row r="241" spans="1:16" ht="48.6" customHeight="1" x14ac:dyDescent="0.2">
      <c r="A241" s="42"/>
      <c r="B241" s="43" t="s">
        <v>270</v>
      </c>
      <c r="C241" s="44" t="s">
        <v>271</v>
      </c>
      <c r="D241" s="45" t="s">
        <v>26</v>
      </c>
      <c r="E241" s="105"/>
      <c r="F241" s="46">
        <f>F242</f>
        <v>5230.2</v>
      </c>
      <c r="G241" s="46">
        <f>G242</f>
        <v>0</v>
      </c>
      <c r="H241" s="46">
        <f>H242</f>
        <v>5230.2</v>
      </c>
      <c r="I241" s="47">
        <f>I242</f>
        <v>0</v>
      </c>
      <c r="J241" s="88"/>
      <c r="K241" s="47">
        <f>K242</f>
        <v>0</v>
      </c>
      <c r="L241" s="46">
        <f>L242</f>
        <v>5230.2</v>
      </c>
      <c r="M241" s="46">
        <f>M242</f>
        <v>0</v>
      </c>
      <c r="N241" s="46">
        <f>N242</f>
        <v>5230.2</v>
      </c>
      <c r="O241" s="94"/>
      <c r="P241" s="94"/>
    </row>
    <row r="242" spans="1:16" ht="31.5" x14ac:dyDescent="0.2">
      <c r="A242" s="42"/>
      <c r="B242" s="43" t="s">
        <v>35</v>
      </c>
      <c r="C242" s="44" t="s">
        <v>271</v>
      </c>
      <c r="D242" s="45" t="s">
        <v>36</v>
      </c>
      <c r="E242" s="105"/>
      <c r="F242" s="56">
        <v>5230.2</v>
      </c>
      <c r="G242" s="56"/>
      <c r="H242" s="56">
        <f>SUM(F242)+G242</f>
        <v>5230.2</v>
      </c>
      <c r="I242" s="47">
        <v>0</v>
      </c>
      <c r="J242" s="111"/>
      <c r="K242" s="47">
        <v>0</v>
      </c>
      <c r="L242" s="56">
        <f t="shared" ref="L242:N244" si="49">SUM(F242)</f>
        <v>5230.2</v>
      </c>
      <c r="M242" s="56">
        <f t="shared" si="49"/>
        <v>0</v>
      </c>
      <c r="N242" s="56">
        <f t="shared" si="49"/>
        <v>5230.2</v>
      </c>
      <c r="O242" s="94"/>
      <c r="P242" s="94"/>
    </row>
    <row r="243" spans="1:16" ht="28.5" customHeight="1" x14ac:dyDescent="0.2">
      <c r="A243" s="42"/>
      <c r="B243" s="145" t="s">
        <v>456</v>
      </c>
      <c r="C243" s="44" t="s">
        <v>455</v>
      </c>
      <c r="D243" s="45"/>
      <c r="E243" s="105"/>
      <c r="F243" s="56">
        <v>1200</v>
      </c>
      <c r="G243" s="56"/>
      <c r="H243" s="56">
        <v>1200</v>
      </c>
      <c r="I243" s="47"/>
      <c r="J243" s="111"/>
      <c r="K243" s="47"/>
      <c r="L243" s="56">
        <f t="shared" si="49"/>
        <v>1200</v>
      </c>
      <c r="M243" s="56">
        <f t="shared" si="49"/>
        <v>0</v>
      </c>
      <c r="N243" s="56">
        <f t="shared" si="49"/>
        <v>1200</v>
      </c>
      <c r="O243" s="94"/>
      <c r="P243" s="94"/>
    </row>
    <row r="244" spans="1:16" ht="31.5" x14ac:dyDescent="0.2">
      <c r="A244" s="42"/>
      <c r="B244" s="43" t="s">
        <v>35</v>
      </c>
      <c r="C244" s="44" t="s">
        <v>455</v>
      </c>
      <c r="D244" s="45" t="s">
        <v>36</v>
      </c>
      <c r="E244" s="105"/>
      <c r="F244" s="56">
        <v>1200</v>
      </c>
      <c r="G244" s="56"/>
      <c r="H244" s="56">
        <v>1200</v>
      </c>
      <c r="I244" s="47"/>
      <c r="J244" s="111"/>
      <c r="K244" s="47"/>
      <c r="L244" s="56">
        <f t="shared" si="49"/>
        <v>1200</v>
      </c>
      <c r="M244" s="56">
        <f t="shared" si="49"/>
        <v>0</v>
      </c>
      <c r="N244" s="56">
        <f t="shared" si="49"/>
        <v>1200</v>
      </c>
      <c r="O244" s="94"/>
      <c r="P244" s="94"/>
    </row>
    <row r="245" spans="1:16" ht="47.25" x14ac:dyDescent="0.2">
      <c r="A245" s="42"/>
      <c r="B245" s="43" t="s">
        <v>272</v>
      </c>
      <c r="C245" s="44" t="s">
        <v>273</v>
      </c>
      <c r="D245" s="45" t="s">
        <v>26</v>
      </c>
      <c r="E245" s="105"/>
      <c r="F245" s="46">
        <f>F246</f>
        <v>1000</v>
      </c>
      <c r="G245" s="46">
        <f>G246</f>
        <v>0</v>
      </c>
      <c r="H245" s="46">
        <f>H246</f>
        <v>1000</v>
      </c>
      <c r="I245" s="47">
        <f>I246</f>
        <v>0</v>
      </c>
      <c r="J245" s="88"/>
      <c r="K245" s="47">
        <f>K246</f>
        <v>0</v>
      </c>
      <c r="L245" s="46">
        <f>L246</f>
        <v>1000</v>
      </c>
      <c r="M245" s="46">
        <f>M246</f>
        <v>0</v>
      </c>
      <c r="N245" s="46">
        <f>N246</f>
        <v>1000</v>
      </c>
      <c r="O245" s="94"/>
      <c r="P245" s="94"/>
    </row>
    <row r="246" spans="1:16" ht="31.5" x14ac:dyDescent="0.2">
      <c r="A246" s="42"/>
      <c r="B246" s="43" t="s">
        <v>35</v>
      </c>
      <c r="C246" s="44" t="s">
        <v>273</v>
      </c>
      <c r="D246" s="45" t="s">
        <v>36</v>
      </c>
      <c r="E246" s="105"/>
      <c r="F246" s="46">
        <v>1000</v>
      </c>
      <c r="G246" s="46"/>
      <c r="H246" s="46">
        <v>1000</v>
      </c>
      <c r="I246" s="47">
        <v>0</v>
      </c>
      <c r="J246" s="88"/>
      <c r="K246" s="47">
        <v>0</v>
      </c>
      <c r="L246" s="46">
        <v>1000</v>
      </c>
      <c r="M246" s="46"/>
      <c r="N246" s="46">
        <v>1000</v>
      </c>
      <c r="O246" s="94"/>
      <c r="P246" s="94"/>
    </row>
    <row r="247" spans="1:16" ht="31.5" x14ac:dyDescent="0.2">
      <c r="A247" s="42"/>
      <c r="B247" s="43" t="s">
        <v>274</v>
      </c>
      <c r="C247" s="44" t="s">
        <v>275</v>
      </c>
      <c r="D247" s="45" t="s">
        <v>26</v>
      </c>
      <c r="E247" s="105"/>
      <c r="F247" s="46">
        <f t="shared" ref="F247:N248" si="50">F248</f>
        <v>13584.1</v>
      </c>
      <c r="G247" s="46">
        <f t="shared" si="50"/>
        <v>0</v>
      </c>
      <c r="H247" s="46">
        <f t="shared" si="50"/>
        <v>13584.1</v>
      </c>
      <c r="I247" s="47">
        <f t="shared" si="50"/>
        <v>0</v>
      </c>
      <c r="J247" s="88"/>
      <c r="K247" s="47">
        <f t="shared" si="50"/>
        <v>0</v>
      </c>
      <c r="L247" s="46">
        <f t="shared" si="50"/>
        <v>13584.1</v>
      </c>
      <c r="M247" s="46">
        <f t="shared" si="50"/>
        <v>0</v>
      </c>
      <c r="N247" s="46">
        <f t="shared" si="50"/>
        <v>13584.1</v>
      </c>
      <c r="O247" s="94"/>
      <c r="P247" s="94"/>
    </row>
    <row r="248" spans="1:16" ht="78.75" x14ac:dyDescent="0.2">
      <c r="A248" s="42"/>
      <c r="B248" s="43" t="s">
        <v>276</v>
      </c>
      <c r="C248" s="44" t="s">
        <v>277</v>
      </c>
      <c r="D248" s="45" t="s">
        <v>26</v>
      </c>
      <c r="E248" s="105"/>
      <c r="F248" s="46">
        <f t="shared" si="50"/>
        <v>13584.1</v>
      </c>
      <c r="G248" s="46">
        <f t="shared" si="50"/>
        <v>0</v>
      </c>
      <c r="H248" s="46">
        <f t="shared" si="50"/>
        <v>13584.1</v>
      </c>
      <c r="I248" s="47">
        <f t="shared" si="50"/>
        <v>0</v>
      </c>
      <c r="J248" s="88"/>
      <c r="K248" s="47">
        <f t="shared" si="50"/>
        <v>0</v>
      </c>
      <c r="L248" s="46">
        <f t="shared" si="50"/>
        <v>13584.1</v>
      </c>
      <c r="M248" s="46">
        <f t="shared" si="50"/>
        <v>0</v>
      </c>
      <c r="N248" s="46">
        <f t="shared" si="50"/>
        <v>13584.1</v>
      </c>
      <c r="O248" s="94"/>
      <c r="P248" s="94"/>
    </row>
    <row r="249" spans="1:16" ht="15.75" x14ac:dyDescent="0.2">
      <c r="A249" s="42"/>
      <c r="B249" s="43" t="s">
        <v>278</v>
      </c>
      <c r="C249" s="44" t="s">
        <v>277</v>
      </c>
      <c r="D249" s="45" t="s">
        <v>279</v>
      </c>
      <c r="E249" s="105"/>
      <c r="F249" s="77">
        <f>13584.2-0.1</f>
        <v>13584.1</v>
      </c>
      <c r="G249" s="77"/>
      <c r="H249" s="77">
        <f>13584.2-0.1</f>
        <v>13584.1</v>
      </c>
      <c r="I249" s="47">
        <v>0</v>
      </c>
      <c r="J249" s="113"/>
      <c r="K249" s="47">
        <v>0</v>
      </c>
      <c r="L249" s="77">
        <f>13584.2-0.1</f>
        <v>13584.1</v>
      </c>
      <c r="M249" s="77"/>
      <c r="N249" s="77">
        <f>13584.2-0.1</f>
        <v>13584.1</v>
      </c>
      <c r="O249" s="94"/>
      <c r="P249" s="94"/>
    </row>
    <row r="250" spans="1:16" ht="47.25" x14ac:dyDescent="0.2">
      <c r="A250" s="42"/>
      <c r="B250" s="43" t="s">
        <v>280</v>
      </c>
      <c r="C250" s="44" t="s">
        <v>281</v>
      </c>
      <c r="D250" s="45" t="s">
        <v>26</v>
      </c>
      <c r="E250" s="105"/>
      <c r="F250" s="46">
        <f t="shared" ref="F250:N251" si="51">F251</f>
        <v>1516.6000000000001</v>
      </c>
      <c r="G250" s="46">
        <f t="shared" si="51"/>
        <v>0</v>
      </c>
      <c r="H250" s="46">
        <f t="shared" si="51"/>
        <v>1516.6000000000001</v>
      </c>
      <c r="I250" s="47">
        <f t="shared" si="51"/>
        <v>0</v>
      </c>
      <c r="J250" s="88"/>
      <c r="K250" s="47">
        <f t="shared" si="51"/>
        <v>0</v>
      </c>
      <c r="L250" s="46">
        <f t="shared" si="51"/>
        <v>1516.6000000000001</v>
      </c>
      <c r="M250" s="46">
        <f t="shared" si="51"/>
        <v>0</v>
      </c>
      <c r="N250" s="46">
        <f t="shared" si="51"/>
        <v>1516.6000000000001</v>
      </c>
      <c r="O250" s="94"/>
      <c r="P250" s="94"/>
    </row>
    <row r="251" spans="1:16" ht="67.900000000000006" customHeight="1" x14ac:dyDescent="0.2">
      <c r="A251" s="42"/>
      <c r="B251" s="43" t="s">
        <v>282</v>
      </c>
      <c r="C251" s="44" t="s">
        <v>283</v>
      </c>
      <c r="D251" s="45" t="s">
        <v>26</v>
      </c>
      <c r="E251" s="105"/>
      <c r="F251" s="46">
        <f t="shared" si="51"/>
        <v>1516.6000000000001</v>
      </c>
      <c r="G251" s="46">
        <f t="shared" si="51"/>
        <v>0</v>
      </c>
      <c r="H251" s="46">
        <f t="shared" si="51"/>
        <v>1516.6000000000001</v>
      </c>
      <c r="I251" s="47">
        <f t="shared" si="51"/>
        <v>0</v>
      </c>
      <c r="J251" s="88"/>
      <c r="K251" s="47">
        <f t="shared" si="51"/>
        <v>0</v>
      </c>
      <c r="L251" s="46">
        <f t="shared" si="51"/>
        <v>1516.6000000000001</v>
      </c>
      <c r="M251" s="46">
        <f t="shared" si="51"/>
        <v>0</v>
      </c>
      <c r="N251" s="46">
        <f t="shared" si="51"/>
        <v>1516.6000000000001</v>
      </c>
      <c r="O251" s="94"/>
      <c r="P251" s="94"/>
    </row>
    <row r="252" spans="1:16" ht="15.75" x14ac:dyDescent="0.2">
      <c r="A252" s="42"/>
      <c r="B252" s="43" t="s">
        <v>278</v>
      </c>
      <c r="C252" s="44" t="s">
        <v>283</v>
      </c>
      <c r="D252" s="45" t="s">
        <v>279</v>
      </c>
      <c r="E252" s="105"/>
      <c r="F252" s="77">
        <f>1516.7-0.1</f>
        <v>1516.6000000000001</v>
      </c>
      <c r="G252" s="77"/>
      <c r="H252" s="77">
        <f>1516.7-0.1</f>
        <v>1516.6000000000001</v>
      </c>
      <c r="I252" s="47">
        <v>0</v>
      </c>
      <c r="J252" s="113"/>
      <c r="K252" s="47">
        <v>0</v>
      </c>
      <c r="L252" s="77">
        <f>1516.7-0.1</f>
        <v>1516.6000000000001</v>
      </c>
      <c r="M252" s="77"/>
      <c r="N252" s="77">
        <f>1516.7-0.1</f>
        <v>1516.6000000000001</v>
      </c>
      <c r="O252" s="94"/>
      <c r="P252" s="94"/>
    </row>
    <row r="253" spans="1:16" ht="0.75" customHeight="1" x14ac:dyDescent="0.2">
      <c r="A253" s="42"/>
      <c r="B253" s="43" t="s">
        <v>448</v>
      </c>
      <c r="C253" s="44" t="s">
        <v>422</v>
      </c>
      <c r="D253" s="45"/>
      <c r="E253" s="105"/>
      <c r="F253" s="77"/>
      <c r="G253" s="77"/>
      <c r="H253" s="77">
        <f>SUM(G253)</f>
        <v>0</v>
      </c>
      <c r="I253" s="47"/>
      <c r="J253" s="113"/>
      <c r="K253" s="47"/>
      <c r="L253" s="77"/>
      <c r="M253" s="77">
        <f t="shared" ref="M253:N256" si="52">SUM(G253)</f>
        <v>0</v>
      </c>
      <c r="N253" s="77">
        <f t="shared" si="52"/>
        <v>0</v>
      </c>
      <c r="O253" s="94"/>
      <c r="P253" s="94"/>
    </row>
    <row r="254" spans="1:16" ht="15.75" hidden="1" x14ac:dyDescent="0.2">
      <c r="A254" s="42"/>
      <c r="B254" s="43" t="s">
        <v>432</v>
      </c>
      <c r="C254" s="44" t="s">
        <v>433</v>
      </c>
      <c r="D254" s="45"/>
      <c r="E254" s="105"/>
      <c r="F254" s="77"/>
      <c r="G254" s="77"/>
      <c r="H254" s="77">
        <f>SUM(G254)</f>
        <v>0</v>
      </c>
      <c r="I254" s="47"/>
      <c r="J254" s="113"/>
      <c r="K254" s="47"/>
      <c r="L254" s="77"/>
      <c r="M254" s="77">
        <f t="shared" si="52"/>
        <v>0</v>
      </c>
      <c r="N254" s="77">
        <f t="shared" si="52"/>
        <v>0</v>
      </c>
      <c r="O254" s="94"/>
      <c r="P254" s="94"/>
    </row>
    <row r="255" spans="1:16" ht="31.5" hidden="1" x14ac:dyDescent="0.2">
      <c r="A255" s="42"/>
      <c r="B255" s="43" t="s">
        <v>434</v>
      </c>
      <c r="C255" s="44" t="s">
        <v>435</v>
      </c>
      <c r="D255" s="45"/>
      <c r="E255" s="105"/>
      <c r="F255" s="77"/>
      <c r="G255" s="77"/>
      <c r="H255" s="77">
        <f>SUM(G255)</f>
        <v>0</v>
      </c>
      <c r="I255" s="47"/>
      <c r="J255" s="113"/>
      <c r="K255" s="47"/>
      <c r="L255" s="77"/>
      <c r="M255" s="77">
        <f t="shared" si="52"/>
        <v>0</v>
      </c>
      <c r="N255" s="77">
        <f t="shared" si="52"/>
        <v>0</v>
      </c>
      <c r="O255" s="94"/>
      <c r="P255" s="94"/>
    </row>
    <row r="256" spans="1:16" ht="31.5" hidden="1" x14ac:dyDescent="0.2">
      <c r="A256" s="42"/>
      <c r="B256" s="43" t="s">
        <v>35</v>
      </c>
      <c r="C256" s="44" t="s">
        <v>435</v>
      </c>
      <c r="D256" s="45" t="s">
        <v>36</v>
      </c>
      <c r="E256" s="105"/>
      <c r="F256" s="77"/>
      <c r="G256" s="77"/>
      <c r="H256" s="77">
        <f>SUM(G256)</f>
        <v>0</v>
      </c>
      <c r="I256" s="47"/>
      <c r="J256" s="113"/>
      <c r="K256" s="47"/>
      <c r="L256" s="77"/>
      <c r="M256" s="77">
        <f t="shared" si="52"/>
        <v>0</v>
      </c>
      <c r="N256" s="77">
        <f t="shared" si="52"/>
        <v>0</v>
      </c>
      <c r="O256" s="94"/>
      <c r="P256" s="94"/>
    </row>
    <row r="257" spans="1:16" ht="15.75" x14ac:dyDescent="0.2">
      <c r="A257" s="49"/>
      <c r="B257" s="50" t="s">
        <v>284</v>
      </c>
      <c r="C257" s="51" t="s">
        <v>285</v>
      </c>
      <c r="D257" s="52" t="s">
        <v>26</v>
      </c>
      <c r="E257" s="106"/>
      <c r="F257" s="53">
        <f t="shared" ref="F257:N259" si="53">F258</f>
        <v>394.4</v>
      </c>
      <c r="G257" s="53">
        <f t="shared" si="53"/>
        <v>0</v>
      </c>
      <c r="H257" s="53">
        <f t="shared" si="53"/>
        <v>394.4</v>
      </c>
      <c r="I257" s="54">
        <f t="shared" si="53"/>
        <v>0</v>
      </c>
      <c r="J257" s="87"/>
      <c r="K257" s="54">
        <f t="shared" si="53"/>
        <v>0</v>
      </c>
      <c r="L257" s="53">
        <f t="shared" si="53"/>
        <v>394.4</v>
      </c>
      <c r="M257" s="53">
        <f t="shared" si="53"/>
        <v>0</v>
      </c>
      <c r="N257" s="53">
        <f t="shared" si="53"/>
        <v>394.4</v>
      </c>
      <c r="O257" s="95"/>
      <c r="P257" s="95"/>
    </row>
    <row r="258" spans="1:16" ht="31.5" x14ac:dyDescent="0.2">
      <c r="A258" s="42"/>
      <c r="B258" s="43" t="s">
        <v>286</v>
      </c>
      <c r="C258" s="44" t="s">
        <v>287</v>
      </c>
      <c r="D258" s="45" t="s">
        <v>26</v>
      </c>
      <c r="E258" s="105"/>
      <c r="F258" s="46">
        <f t="shared" si="53"/>
        <v>394.4</v>
      </c>
      <c r="G258" s="46">
        <f t="shared" si="53"/>
        <v>0</v>
      </c>
      <c r="H258" s="46">
        <f t="shared" si="53"/>
        <v>394.4</v>
      </c>
      <c r="I258" s="47">
        <f t="shared" si="53"/>
        <v>0</v>
      </c>
      <c r="J258" s="88"/>
      <c r="K258" s="47">
        <f t="shared" si="53"/>
        <v>0</v>
      </c>
      <c r="L258" s="46">
        <f t="shared" si="53"/>
        <v>394.4</v>
      </c>
      <c r="M258" s="46">
        <f t="shared" si="53"/>
        <v>0</v>
      </c>
      <c r="N258" s="46">
        <f t="shared" si="53"/>
        <v>394.4</v>
      </c>
      <c r="O258" s="94"/>
      <c r="P258" s="94"/>
    </row>
    <row r="259" spans="1:16" ht="15.75" x14ac:dyDescent="0.2">
      <c r="A259" s="42"/>
      <c r="B259" s="43" t="s">
        <v>288</v>
      </c>
      <c r="C259" s="44" t="s">
        <v>289</v>
      </c>
      <c r="D259" s="45" t="s">
        <v>26</v>
      </c>
      <c r="E259" s="105"/>
      <c r="F259" s="46">
        <f t="shared" si="53"/>
        <v>394.4</v>
      </c>
      <c r="G259" s="46">
        <f t="shared" si="53"/>
        <v>0</v>
      </c>
      <c r="H259" s="46">
        <f t="shared" si="53"/>
        <v>394.4</v>
      </c>
      <c r="I259" s="47">
        <f t="shared" si="53"/>
        <v>0</v>
      </c>
      <c r="J259" s="88"/>
      <c r="K259" s="47">
        <f t="shared" si="53"/>
        <v>0</v>
      </c>
      <c r="L259" s="46">
        <f t="shared" si="53"/>
        <v>394.4</v>
      </c>
      <c r="M259" s="46">
        <f t="shared" si="53"/>
        <v>0</v>
      </c>
      <c r="N259" s="46">
        <f t="shared" si="53"/>
        <v>394.4</v>
      </c>
      <c r="O259" s="94"/>
      <c r="P259" s="94"/>
    </row>
    <row r="260" spans="1:16" ht="31.5" x14ac:dyDescent="0.2">
      <c r="A260" s="42"/>
      <c r="B260" s="43" t="s">
        <v>35</v>
      </c>
      <c r="C260" s="44" t="s">
        <v>289</v>
      </c>
      <c r="D260" s="45" t="s">
        <v>36</v>
      </c>
      <c r="E260" s="105"/>
      <c r="F260" s="46">
        <v>394.4</v>
      </c>
      <c r="G260" s="46"/>
      <c r="H260" s="46">
        <v>394.4</v>
      </c>
      <c r="I260" s="47">
        <v>0</v>
      </c>
      <c r="J260" s="88"/>
      <c r="K260" s="47">
        <v>0</v>
      </c>
      <c r="L260" s="46">
        <f>SUM(F260)</f>
        <v>394.4</v>
      </c>
      <c r="M260" s="46">
        <f>SUM(G260)</f>
        <v>0</v>
      </c>
      <c r="N260" s="46">
        <f>SUM(H260)</f>
        <v>394.4</v>
      </c>
      <c r="O260" s="94"/>
      <c r="P260" s="94"/>
    </row>
    <row r="261" spans="1:16" ht="24.6" customHeight="1" x14ac:dyDescent="0.2">
      <c r="A261" s="49"/>
      <c r="B261" s="50" t="s">
        <v>290</v>
      </c>
      <c r="C261" s="51" t="s">
        <v>291</v>
      </c>
      <c r="D261" s="52" t="s">
        <v>26</v>
      </c>
      <c r="E261" s="106"/>
      <c r="F261" s="53">
        <f>F262</f>
        <v>5928.3</v>
      </c>
      <c r="G261" s="53">
        <f>G262</f>
        <v>372</v>
      </c>
      <c r="H261" s="53">
        <f>H262</f>
        <v>6300.3</v>
      </c>
      <c r="I261" s="54">
        <f>I262</f>
        <v>0</v>
      </c>
      <c r="J261" s="87"/>
      <c r="K261" s="54">
        <f>K262</f>
        <v>0</v>
      </c>
      <c r="L261" s="53">
        <f>L262</f>
        <v>5928.3</v>
      </c>
      <c r="M261" s="53">
        <f>M262</f>
        <v>372</v>
      </c>
      <c r="N261" s="53">
        <f>N262</f>
        <v>6300.3</v>
      </c>
      <c r="O261" s="95"/>
      <c r="P261" s="95"/>
    </row>
    <row r="262" spans="1:16" ht="36.6" customHeight="1" x14ac:dyDescent="0.2">
      <c r="A262" s="42"/>
      <c r="B262" s="43" t="s">
        <v>292</v>
      </c>
      <c r="C262" s="44" t="s">
        <v>293</v>
      </c>
      <c r="D262" s="45" t="s">
        <v>26</v>
      </c>
      <c r="E262" s="105"/>
      <c r="F262" s="46">
        <f>F263+F265</f>
        <v>5928.3</v>
      </c>
      <c r="G262" s="46">
        <f>G263+G265</f>
        <v>372</v>
      </c>
      <c r="H262" s="46">
        <f>H263+H265</f>
        <v>6300.3</v>
      </c>
      <c r="I262" s="47">
        <f>I263+I265</f>
        <v>0</v>
      </c>
      <c r="J262" s="88"/>
      <c r="K262" s="47">
        <f>K263+K265</f>
        <v>0</v>
      </c>
      <c r="L262" s="46">
        <f>L263+L265</f>
        <v>5928.3</v>
      </c>
      <c r="M262" s="46">
        <f>M263+M265</f>
        <v>372</v>
      </c>
      <c r="N262" s="46">
        <f>N263+N265</f>
        <v>6300.3</v>
      </c>
      <c r="O262" s="94"/>
      <c r="P262" s="94"/>
    </row>
    <row r="263" spans="1:16" ht="22.15" customHeight="1" x14ac:dyDescent="0.2">
      <c r="A263" s="42"/>
      <c r="B263" s="43" t="s">
        <v>294</v>
      </c>
      <c r="C263" s="44" t="s">
        <v>295</v>
      </c>
      <c r="D263" s="45" t="s">
        <v>26</v>
      </c>
      <c r="E263" s="105"/>
      <c r="F263" s="46">
        <f>F264</f>
        <v>1063.5</v>
      </c>
      <c r="G263" s="46">
        <f>G264</f>
        <v>372</v>
      </c>
      <c r="H263" s="46">
        <f>H264</f>
        <v>1435.5</v>
      </c>
      <c r="I263" s="47">
        <f>I264</f>
        <v>0</v>
      </c>
      <c r="J263" s="88"/>
      <c r="K263" s="47">
        <f>K264</f>
        <v>0</v>
      </c>
      <c r="L263" s="46">
        <f>L264</f>
        <v>1063.5</v>
      </c>
      <c r="M263" s="46">
        <f>M264</f>
        <v>372</v>
      </c>
      <c r="N263" s="46">
        <f>N264</f>
        <v>1435.5</v>
      </c>
      <c r="O263" s="94"/>
      <c r="P263" s="94"/>
    </row>
    <row r="264" spans="1:16" ht="31.5" x14ac:dyDescent="0.2">
      <c r="A264" s="42"/>
      <c r="B264" s="43" t="s">
        <v>35</v>
      </c>
      <c r="C264" s="44" t="s">
        <v>295</v>
      </c>
      <c r="D264" s="45" t="s">
        <v>36</v>
      </c>
      <c r="E264" s="105"/>
      <c r="F264" s="56">
        <v>1063.5</v>
      </c>
      <c r="G264" s="56">
        <v>372</v>
      </c>
      <c r="H264" s="56">
        <f>1063.5+G264</f>
        <v>1435.5</v>
      </c>
      <c r="I264" s="47">
        <v>0</v>
      </c>
      <c r="J264" s="111"/>
      <c r="K264" s="47">
        <v>0</v>
      </c>
      <c r="L264" s="56">
        <f>SUM(F264)</f>
        <v>1063.5</v>
      </c>
      <c r="M264" s="56">
        <f>SUM(G264)</f>
        <v>372</v>
      </c>
      <c r="N264" s="56">
        <f>SUM(H264)</f>
        <v>1435.5</v>
      </c>
      <c r="O264" s="94"/>
      <c r="P264" s="94"/>
    </row>
    <row r="265" spans="1:16" ht="52.15" customHeight="1" x14ac:dyDescent="0.2">
      <c r="A265" s="42"/>
      <c r="B265" s="43" t="s">
        <v>296</v>
      </c>
      <c r="C265" s="44" t="s">
        <v>297</v>
      </c>
      <c r="D265" s="45" t="s">
        <v>26</v>
      </c>
      <c r="E265" s="105"/>
      <c r="F265" s="46">
        <f>F266</f>
        <v>4864.8</v>
      </c>
      <c r="G265" s="46">
        <f>G266</f>
        <v>0</v>
      </c>
      <c r="H265" s="46">
        <f>H266</f>
        <v>4864.8</v>
      </c>
      <c r="I265" s="47">
        <f>I266</f>
        <v>0</v>
      </c>
      <c r="J265" s="88"/>
      <c r="K265" s="47">
        <f>K266</f>
        <v>0</v>
      </c>
      <c r="L265" s="46">
        <f>L266</f>
        <v>4864.8</v>
      </c>
      <c r="M265" s="46">
        <f>M266</f>
        <v>0</v>
      </c>
      <c r="N265" s="46">
        <f>N266</f>
        <v>4864.8</v>
      </c>
      <c r="O265" s="94"/>
      <c r="P265" s="94"/>
    </row>
    <row r="266" spans="1:16" ht="15.75" x14ac:dyDescent="0.2">
      <c r="A266" s="42"/>
      <c r="B266" s="43" t="s">
        <v>278</v>
      </c>
      <c r="C266" s="44" t="s">
        <v>297</v>
      </c>
      <c r="D266" s="45" t="s">
        <v>279</v>
      </c>
      <c r="E266" s="105"/>
      <c r="F266" s="46">
        <v>4864.8</v>
      </c>
      <c r="G266" s="46"/>
      <c r="H266" s="46">
        <v>4864.8</v>
      </c>
      <c r="I266" s="47">
        <v>0</v>
      </c>
      <c r="J266" s="88"/>
      <c r="K266" s="47">
        <v>0</v>
      </c>
      <c r="L266" s="46">
        <v>4864.8</v>
      </c>
      <c r="M266" s="46"/>
      <c r="N266" s="46">
        <v>4864.8</v>
      </c>
      <c r="O266" s="94"/>
      <c r="P266" s="94"/>
    </row>
    <row r="267" spans="1:16" ht="15.75" x14ac:dyDescent="0.2">
      <c r="A267" s="49"/>
      <c r="B267" s="50" t="s">
        <v>298</v>
      </c>
      <c r="C267" s="51" t="s">
        <v>299</v>
      </c>
      <c r="D267" s="52" t="s">
        <v>26</v>
      </c>
      <c r="E267" s="106"/>
      <c r="F267" s="53">
        <f t="shared" ref="F267:N269" si="54">F268</f>
        <v>20</v>
      </c>
      <c r="G267" s="53">
        <f t="shared" si="54"/>
        <v>0</v>
      </c>
      <c r="H267" s="53">
        <f t="shared" si="54"/>
        <v>20</v>
      </c>
      <c r="I267" s="54">
        <f t="shared" si="54"/>
        <v>0</v>
      </c>
      <c r="J267" s="53">
        <f>J268</f>
        <v>0</v>
      </c>
      <c r="K267" s="54">
        <f t="shared" si="54"/>
        <v>0</v>
      </c>
      <c r="L267" s="53">
        <f t="shared" si="54"/>
        <v>20</v>
      </c>
      <c r="M267" s="53">
        <f t="shared" si="54"/>
        <v>0</v>
      </c>
      <c r="N267" s="53">
        <f t="shared" si="54"/>
        <v>20</v>
      </c>
      <c r="O267" s="95"/>
      <c r="P267" s="95"/>
    </row>
    <row r="268" spans="1:16" ht="31.5" x14ac:dyDescent="0.2">
      <c r="A268" s="42"/>
      <c r="B268" s="43" t="s">
        <v>300</v>
      </c>
      <c r="C268" s="44" t="s">
        <v>301</v>
      </c>
      <c r="D268" s="45" t="s">
        <v>26</v>
      </c>
      <c r="E268" s="105"/>
      <c r="F268" s="46">
        <f t="shared" si="54"/>
        <v>20</v>
      </c>
      <c r="G268" s="46">
        <f t="shared" si="54"/>
        <v>0</v>
      </c>
      <c r="H268" s="46">
        <f t="shared" si="54"/>
        <v>20</v>
      </c>
      <c r="I268" s="47">
        <f t="shared" si="54"/>
        <v>0</v>
      </c>
      <c r="J268" s="88"/>
      <c r="K268" s="47">
        <f t="shared" si="54"/>
        <v>0</v>
      </c>
      <c r="L268" s="46">
        <f t="shared" si="54"/>
        <v>20</v>
      </c>
      <c r="M268" s="46">
        <f t="shared" si="54"/>
        <v>0</v>
      </c>
      <c r="N268" s="46">
        <f t="shared" si="54"/>
        <v>20</v>
      </c>
      <c r="O268" s="94"/>
      <c r="P268" s="94"/>
    </row>
    <row r="269" spans="1:16" ht="15.75" x14ac:dyDescent="0.2">
      <c r="A269" s="42"/>
      <c r="B269" s="43" t="s">
        <v>302</v>
      </c>
      <c r="C269" s="44" t="s">
        <v>303</v>
      </c>
      <c r="D269" s="45" t="s">
        <v>26</v>
      </c>
      <c r="E269" s="105"/>
      <c r="F269" s="46">
        <f t="shared" si="54"/>
        <v>20</v>
      </c>
      <c r="G269" s="46">
        <f t="shared" si="54"/>
        <v>0</v>
      </c>
      <c r="H269" s="46">
        <f t="shared" si="54"/>
        <v>20</v>
      </c>
      <c r="I269" s="47">
        <f t="shared" si="54"/>
        <v>0</v>
      </c>
      <c r="J269" s="88"/>
      <c r="K269" s="47">
        <f t="shared" si="54"/>
        <v>0</v>
      </c>
      <c r="L269" s="46">
        <f t="shared" si="54"/>
        <v>20</v>
      </c>
      <c r="M269" s="46">
        <f t="shared" si="54"/>
        <v>0</v>
      </c>
      <c r="N269" s="46">
        <f t="shared" si="54"/>
        <v>20</v>
      </c>
      <c r="O269" s="94"/>
      <c r="P269" s="94"/>
    </row>
    <row r="270" spans="1:16" ht="31.5" x14ac:dyDescent="0.2">
      <c r="A270" s="42"/>
      <c r="B270" s="43" t="s">
        <v>35</v>
      </c>
      <c r="C270" s="44" t="s">
        <v>303</v>
      </c>
      <c r="D270" s="45" t="s">
        <v>36</v>
      </c>
      <c r="E270" s="105"/>
      <c r="F270" s="46">
        <v>20</v>
      </c>
      <c r="G270" s="46"/>
      <c r="H270" s="46">
        <v>20</v>
      </c>
      <c r="I270" s="47">
        <v>0</v>
      </c>
      <c r="J270" s="88"/>
      <c r="K270" s="47">
        <v>0</v>
      </c>
      <c r="L270" s="46">
        <v>20</v>
      </c>
      <c r="M270" s="46"/>
      <c r="N270" s="46">
        <v>20</v>
      </c>
      <c r="O270" s="94"/>
      <c r="P270" s="94"/>
    </row>
    <row r="271" spans="1:16" ht="15.75" x14ac:dyDescent="0.2">
      <c r="A271" s="49"/>
      <c r="B271" s="50" t="s">
        <v>140</v>
      </c>
      <c r="C271" s="51" t="s">
        <v>304</v>
      </c>
      <c r="D271" s="52" t="s">
        <v>26</v>
      </c>
      <c r="E271" s="106"/>
      <c r="F271" s="53">
        <f t="shared" ref="F271:N271" si="55">F272+F275</f>
        <v>3461.5</v>
      </c>
      <c r="G271" s="53">
        <f t="shared" si="55"/>
        <v>0</v>
      </c>
      <c r="H271" s="53">
        <f t="shared" si="55"/>
        <v>3461.5</v>
      </c>
      <c r="I271" s="54">
        <f t="shared" si="55"/>
        <v>0</v>
      </c>
      <c r="J271" s="53">
        <f t="shared" si="55"/>
        <v>0</v>
      </c>
      <c r="K271" s="54">
        <f t="shared" si="55"/>
        <v>0</v>
      </c>
      <c r="L271" s="53">
        <f t="shared" si="55"/>
        <v>3461.5</v>
      </c>
      <c r="M271" s="53">
        <f t="shared" si="55"/>
        <v>0</v>
      </c>
      <c r="N271" s="53">
        <f t="shared" si="55"/>
        <v>3461.5</v>
      </c>
      <c r="O271" s="95"/>
      <c r="P271" s="95"/>
    </row>
    <row r="272" spans="1:16" ht="30.6" customHeight="1" x14ac:dyDescent="0.2">
      <c r="A272" s="42"/>
      <c r="B272" s="43" t="s">
        <v>305</v>
      </c>
      <c r="C272" s="44" t="s">
        <v>306</v>
      </c>
      <c r="D272" s="45" t="s">
        <v>26</v>
      </c>
      <c r="E272" s="105"/>
      <c r="F272" s="46">
        <f t="shared" ref="F272:N273" si="56">F273</f>
        <v>3366.5</v>
      </c>
      <c r="G272" s="46">
        <f t="shared" si="56"/>
        <v>0</v>
      </c>
      <c r="H272" s="46">
        <f t="shared" si="56"/>
        <v>3366.5</v>
      </c>
      <c r="I272" s="47">
        <f t="shared" si="56"/>
        <v>0</v>
      </c>
      <c r="J272" s="88"/>
      <c r="K272" s="47">
        <f t="shared" si="56"/>
        <v>0</v>
      </c>
      <c r="L272" s="46">
        <f t="shared" si="56"/>
        <v>3366.5</v>
      </c>
      <c r="M272" s="46">
        <f t="shared" si="56"/>
        <v>0</v>
      </c>
      <c r="N272" s="46">
        <f t="shared" si="56"/>
        <v>3366.5</v>
      </c>
      <c r="O272" s="94"/>
      <c r="P272" s="94"/>
    </row>
    <row r="273" spans="1:16" ht="63" x14ac:dyDescent="0.2">
      <c r="A273" s="42"/>
      <c r="B273" s="43" t="s">
        <v>307</v>
      </c>
      <c r="C273" s="44" t="s">
        <v>308</v>
      </c>
      <c r="D273" s="45" t="s">
        <v>26</v>
      </c>
      <c r="E273" s="105"/>
      <c r="F273" s="46">
        <f t="shared" si="56"/>
        <v>3366.5</v>
      </c>
      <c r="G273" s="46">
        <f t="shared" si="56"/>
        <v>0</v>
      </c>
      <c r="H273" s="46">
        <f t="shared" si="56"/>
        <v>3366.5</v>
      </c>
      <c r="I273" s="47">
        <f t="shared" si="56"/>
        <v>0</v>
      </c>
      <c r="J273" s="88"/>
      <c r="K273" s="47">
        <f t="shared" si="56"/>
        <v>0</v>
      </c>
      <c r="L273" s="46">
        <f t="shared" si="56"/>
        <v>3366.5</v>
      </c>
      <c r="M273" s="46">
        <f t="shared" si="56"/>
        <v>0</v>
      </c>
      <c r="N273" s="46">
        <f t="shared" si="56"/>
        <v>3366.5</v>
      </c>
      <c r="O273" s="94"/>
      <c r="P273" s="94"/>
    </row>
    <row r="274" spans="1:16" ht="15.75" x14ac:dyDescent="0.2">
      <c r="A274" s="42"/>
      <c r="B274" s="43" t="s">
        <v>278</v>
      </c>
      <c r="C274" s="44" t="s">
        <v>308</v>
      </c>
      <c r="D274" s="45" t="s">
        <v>279</v>
      </c>
      <c r="E274" s="105"/>
      <c r="F274" s="46">
        <v>3366.5</v>
      </c>
      <c r="G274" s="46"/>
      <c r="H274" s="46">
        <v>3366.5</v>
      </c>
      <c r="I274" s="47">
        <v>0</v>
      </c>
      <c r="J274" s="88"/>
      <c r="K274" s="47">
        <v>0</v>
      </c>
      <c r="L274" s="46">
        <v>3366.5</v>
      </c>
      <c r="M274" s="46"/>
      <c r="N274" s="46">
        <v>3366.5</v>
      </c>
      <c r="O274" s="94"/>
      <c r="P274" s="94"/>
    </row>
    <row r="275" spans="1:16" ht="47.25" x14ac:dyDescent="0.2">
      <c r="A275" s="42"/>
      <c r="B275" s="43" t="s">
        <v>309</v>
      </c>
      <c r="C275" s="44" t="s">
        <v>310</v>
      </c>
      <c r="D275" s="45" t="s">
        <v>26</v>
      </c>
      <c r="E275" s="105"/>
      <c r="F275" s="46">
        <f t="shared" ref="F275:N276" si="57">F276</f>
        <v>95</v>
      </c>
      <c r="G275" s="46">
        <f t="shared" si="57"/>
        <v>0</v>
      </c>
      <c r="H275" s="46">
        <f t="shared" si="57"/>
        <v>95</v>
      </c>
      <c r="I275" s="47">
        <f t="shared" si="57"/>
        <v>0</v>
      </c>
      <c r="J275" s="88"/>
      <c r="K275" s="47">
        <f t="shared" si="57"/>
        <v>0</v>
      </c>
      <c r="L275" s="46">
        <f t="shared" si="57"/>
        <v>95</v>
      </c>
      <c r="M275" s="46">
        <f t="shared" si="57"/>
        <v>0</v>
      </c>
      <c r="N275" s="46">
        <f t="shared" si="57"/>
        <v>95</v>
      </c>
      <c r="O275" s="94"/>
      <c r="P275" s="94"/>
    </row>
    <row r="276" spans="1:16" ht="15.75" x14ac:dyDescent="0.2">
      <c r="A276" s="42"/>
      <c r="B276" s="43" t="s">
        <v>311</v>
      </c>
      <c r="C276" s="44" t="s">
        <v>312</v>
      </c>
      <c r="D276" s="45" t="s">
        <v>26</v>
      </c>
      <c r="E276" s="105"/>
      <c r="F276" s="46">
        <f t="shared" si="57"/>
        <v>95</v>
      </c>
      <c r="G276" s="46">
        <f t="shared" si="57"/>
        <v>0</v>
      </c>
      <c r="H276" s="46">
        <f t="shared" si="57"/>
        <v>95</v>
      </c>
      <c r="I276" s="47">
        <f t="shared" si="57"/>
        <v>0</v>
      </c>
      <c r="J276" s="88"/>
      <c r="K276" s="47">
        <f t="shared" si="57"/>
        <v>0</v>
      </c>
      <c r="L276" s="46">
        <f t="shared" si="57"/>
        <v>95</v>
      </c>
      <c r="M276" s="46">
        <f t="shared" si="57"/>
        <v>0</v>
      </c>
      <c r="N276" s="46">
        <f t="shared" si="57"/>
        <v>95</v>
      </c>
      <c r="O276" s="94"/>
      <c r="P276" s="94"/>
    </row>
    <row r="277" spans="1:16" ht="30" customHeight="1" x14ac:dyDescent="0.2">
      <c r="A277" s="42"/>
      <c r="B277" s="43" t="s">
        <v>35</v>
      </c>
      <c r="C277" s="44" t="s">
        <v>312</v>
      </c>
      <c r="D277" s="45" t="s">
        <v>36</v>
      </c>
      <c r="E277" s="105"/>
      <c r="F277" s="46">
        <v>95</v>
      </c>
      <c r="G277" s="46"/>
      <c r="H277" s="46">
        <v>95</v>
      </c>
      <c r="I277" s="47">
        <v>0</v>
      </c>
      <c r="J277" s="88"/>
      <c r="K277" s="47">
        <v>0</v>
      </c>
      <c r="L277" s="46">
        <v>95</v>
      </c>
      <c r="M277" s="46"/>
      <c r="N277" s="46">
        <v>95</v>
      </c>
      <c r="O277" s="94"/>
      <c r="P277" s="94"/>
    </row>
    <row r="278" spans="1:16" ht="31.5" hidden="1" x14ac:dyDescent="0.2">
      <c r="A278" s="42"/>
      <c r="B278" s="43" t="s">
        <v>448</v>
      </c>
      <c r="C278" s="44" t="s">
        <v>422</v>
      </c>
      <c r="D278" s="45"/>
      <c r="E278" s="105"/>
      <c r="F278" s="46"/>
      <c r="G278" s="46"/>
      <c r="H278" s="46">
        <f>SUM(G278)</f>
        <v>0</v>
      </c>
      <c r="I278" s="47"/>
      <c r="J278" s="88"/>
      <c r="K278" s="47"/>
      <c r="L278" s="46"/>
      <c r="M278" s="46">
        <f>SUM(G278)</f>
        <v>0</v>
      </c>
      <c r="N278" s="46">
        <f>SUM(H278)</f>
        <v>0</v>
      </c>
      <c r="O278" s="94"/>
      <c r="P278" s="94"/>
    </row>
    <row r="279" spans="1:16" ht="15.75" hidden="1" x14ac:dyDescent="0.2">
      <c r="A279" s="42"/>
      <c r="B279" s="43" t="s">
        <v>432</v>
      </c>
      <c r="C279" s="44" t="s">
        <v>433</v>
      </c>
      <c r="D279" s="45"/>
      <c r="E279" s="105"/>
      <c r="F279" s="46"/>
      <c r="G279" s="46"/>
      <c r="H279" s="46">
        <f>SUM(G279)</f>
        <v>0</v>
      </c>
      <c r="I279" s="47"/>
      <c r="J279" s="88"/>
      <c r="K279" s="47"/>
      <c r="L279" s="46"/>
      <c r="M279" s="46">
        <f>SUM(G279)</f>
        <v>0</v>
      </c>
      <c r="N279" s="46" t="s">
        <v>447</v>
      </c>
      <c r="O279" s="94"/>
      <c r="P279" s="94"/>
    </row>
    <row r="280" spans="1:16" ht="31.5" hidden="1" x14ac:dyDescent="0.2">
      <c r="A280" s="42"/>
      <c r="B280" s="43" t="s">
        <v>434</v>
      </c>
      <c r="C280" s="44" t="s">
        <v>435</v>
      </c>
      <c r="D280" s="45"/>
      <c r="E280" s="105"/>
      <c r="F280" s="46"/>
      <c r="G280" s="46"/>
      <c r="H280" s="46">
        <f>SUM(G280)</f>
        <v>0</v>
      </c>
      <c r="I280" s="47"/>
      <c r="J280" s="88"/>
      <c r="K280" s="47"/>
      <c r="L280" s="46"/>
      <c r="M280" s="46">
        <f>SUM(G281)</f>
        <v>0</v>
      </c>
      <c r="N280" s="46">
        <f>SUM(H281)</f>
        <v>0</v>
      </c>
      <c r="O280" s="94"/>
      <c r="P280" s="94"/>
    </row>
    <row r="281" spans="1:16" ht="31.5" hidden="1" x14ac:dyDescent="0.2">
      <c r="A281" s="42"/>
      <c r="B281" s="43" t="s">
        <v>35</v>
      </c>
      <c r="C281" s="44" t="s">
        <v>435</v>
      </c>
      <c r="D281" s="45" t="s">
        <v>36</v>
      </c>
      <c r="E281" s="105"/>
      <c r="F281" s="46"/>
      <c r="G281" s="46"/>
      <c r="H281" s="46">
        <f>SUM(G281)</f>
        <v>0</v>
      </c>
      <c r="I281" s="47"/>
      <c r="J281" s="88"/>
      <c r="K281" s="47"/>
      <c r="L281" s="46"/>
      <c r="M281" s="46">
        <f>SUM(G281)</f>
        <v>0</v>
      </c>
      <c r="N281" s="46">
        <f>SUM(H281)</f>
        <v>0</v>
      </c>
      <c r="O281" s="94"/>
      <c r="P281" s="94"/>
    </row>
    <row r="282" spans="1:16" ht="47.25" x14ac:dyDescent="0.2">
      <c r="A282" s="19" t="s">
        <v>313</v>
      </c>
      <c r="B282" s="20" t="s">
        <v>314</v>
      </c>
      <c r="C282" s="21" t="s">
        <v>315</v>
      </c>
      <c r="D282" s="22" t="s">
        <v>26</v>
      </c>
      <c r="E282" s="104"/>
      <c r="F282" s="23">
        <f t="shared" ref="F282:N282" si="58">F283+F292+F297</f>
        <v>5472</v>
      </c>
      <c r="G282" s="23">
        <f t="shared" si="58"/>
        <v>300</v>
      </c>
      <c r="H282" s="23">
        <f t="shared" si="58"/>
        <v>5772</v>
      </c>
      <c r="I282" s="24">
        <f t="shared" si="58"/>
        <v>0</v>
      </c>
      <c r="J282" s="23">
        <f t="shared" si="58"/>
        <v>700</v>
      </c>
      <c r="K282" s="24">
        <f t="shared" si="58"/>
        <v>700</v>
      </c>
      <c r="L282" s="23">
        <f t="shared" si="58"/>
        <v>5472</v>
      </c>
      <c r="M282" s="23">
        <f t="shared" si="58"/>
        <v>1000</v>
      </c>
      <c r="N282" s="23">
        <f t="shared" si="58"/>
        <v>6472</v>
      </c>
      <c r="O282" s="93"/>
      <c r="P282" s="93"/>
    </row>
    <row r="283" spans="1:16" ht="31.5" x14ac:dyDescent="0.2">
      <c r="A283" s="49"/>
      <c r="B283" s="50" t="s">
        <v>316</v>
      </c>
      <c r="C283" s="51" t="s">
        <v>317</v>
      </c>
      <c r="D283" s="52" t="s">
        <v>26</v>
      </c>
      <c r="E283" s="106"/>
      <c r="F283" s="53">
        <f t="shared" ref="F283:N283" si="59">F284</f>
        <v>2722</v>
      </c>
      <c r="G283" s="53">
        <f t="shared" si="59"/>
        <v>0</v>
      </c>
      <c r="H283" s="53">
        <f t="shared" si="59"/>
        <v>2722</v>
      </c>
      <c r="I283" s="54">
        <f t="shared" si="59"/>
        <v>0</v>
      </c>
      <c r="J283" s="53">
        <f t="shared" si="59"/>
        <v>600</v>
      </c>
      <c r="K283" s="54">
        <f t="shared" si="59"/>
        <v>600</v>
      </c>
      <c r="L283" s="53">
        <f t="shared" si="59"/>
        <v>2722</v>
      </c>
      <c r="M283" s="53">
        <f t="shared" si="59"/>
        <v>600</v>
      </c>
      <c r="N283" s="53">
        <f t="shared" si="59"/>
        <v>3322</v>
      </c>
      <c r="O283" s="95"/>
      <c r="P283" s="95"/>
    </row>
    <row r="284" spans="1:16" ht="31.5" x14ac:dyDescent="0.2">
      <c r="A284" s="42"/>
      <c r="B284" s="43" t="s">
        <v>318</v>
      </c>
      <c r="C284" s="44" t="s">
        <v>319</v>
      </c>
      <c r="D284" s="45" t="s">
        <v>26</v>
      </c>
      <c r="E284" s="105"/>
      <c r="F284" s="46">
        <f>F285+F287</f>
        <v>2722</v>
      </c>
      <c r="G284" s="46">
        <f>G285+G287</f>
        <v>0</v>
      </c>
      <c r="H284" s="46">
        <f>H285+H287</f>
        <v>2722</v>
      </c>
      <c r="I284" s="47">
        <f>I285+I287</f>
        <v>0</v>
      </c>
      <c r="J284" s="88">
        <f>SUM(J290)</f>
        <v>600</v>
      </c>
      <c r="K284" s="88">
        <f>SUM(K290)</f>
        <v>600</v>
      </c>
      <c r="L284" s="46">
        <f>L285+L287</f>
        <v>2722</v>
      </c>
      <c r="M284" s="88">
        <f>SUM(M290)</f>
        <v>600</v>
      </c>
      <c r="N284" s="46">
        <f>N285+N287+M284</f>
        <v>3322</v>
      </c>
      <c r="O284" s="94"/>
      <c r="P284" s="94"/>
    </row>
    <row r="285" spans="1:16" ht="31.5" x14ac:dyDescent="0.2">
      <c r="A285" s="42"/>
      <c r="B285" s="43" t="s">
        <v>316</v>
      </c>
      <c r="C285" s="44" t="s">
        <v>320</v>
      </c>
      <c r="D285" s="45" t="s">
        <v>26</v>
      </c>
      <c r="E285" s="105"/>
      <c r="F285" s="46">
        <f>F286</f>
        <v>2412</v>
      </c>
      <c r="G285" s="46">
        <f>G286</f>
        <v>0</v>
      </c>
      <c r="H285" s="46">
        <f>H286</f>
        <v>2412</v>
      </c>
      <c r="I285" s="47">
        <f>I286</f>
        <v>0</v>
      </c>
      <c r="J285" s="88"/>
      <c r="K285" s="47">
        <f>K286</f>
        <v>0</v>
      </c>
      <c r="L285" s="46">
        <f>L286</f>
        <v>2412</v>
      </c>
      <c r="M285" s="46">
        <f>M286</f>
        <v>0</v>
      </c>
      <c r="N285" s="46">
        <f>N286</f>
        <v>2412</v>
      </c>
      <c r="O285" s="94"/>
      <c r="P285" s="94"/>
    </row>
    <row r="286" spans="1:16" ht="15.75" x14ac:dyDescent="0.2">
      <c r="A286" s="42"/>
      <c r="B286" s="43" t="s">
        <v>54</v>
      </c>
      <c r="C286" s="44" t="s">
        <v>320</v>
      </c>
      <c r="D286" s="45" t="s">
        <v>55</v>
      </c>
      <c r="E286" s="105"/>
      <c r="F286" s="46">
        <v>2412</v>
      </c>
      <c r="G286" s="46"/>
      <c r="H286" s="46">
        <v>2412</v>
      </c>
      <c r="I286" s="47">
        <v>0</v>
      </c>
      <c r="J286" s="88"/>
      <c r="K286" s="47">
        <v>0</v>
      </c>
      <c r="L286" s="46">
        <v>2412</v>
      </c>
      <c r="M286" s="46"/>
      <c r="N286" s="46">
        <v>2412</v>
      </c>
      <c r="O286" s="94"/>
      <c r="P286" s="94"/>
    </row>
    <row r="287" spans="1:16" ht="31.5" x14ac:dyDescent="0.2">
      <c r="A287" s="42"/>
      <c r="B287" s="43" t="s">
        <v>321</v>
      </c>
      <c r="C287" s="44" t="s">
        <v>322</v>
      </c>
      <c r="D287" s="45" t="s">
        <v>26</v>
      </c>
      <c r="E287" s="105"/>
      <c r="F287" s="46">
        <f>F288+F289</f>
        <v>310</v>
      </c>
      <c r="G287" s="46">
        <f>G288+G289</f>
        <v>0</v>
      </c>
      <c r="H287" s="46">
        <f>H288+H289</f>
        <v>310</v>
      </c>
      <c r="I287" s="47">
        <f>I288+I289</f>
        <v>0</v>
      </c>
      <c r="J287" s="88"/>
      <c r="K287" s="47">
        <f>K288+K289</f>
        <v>0</v>
      </c>
      <c r="L287" s="46">
        <f>L288+L289</f>
        <v>310</v>
      </c>
      <c r="M287" s="46">
        <f>M288+M289</f>
        <v>0</v>
      </c>
      <c r="N287" s="46">
        <f>N288+N289</f>
        <v>310</v>
      </c>
      <c r="O287" s="94"/>
      <c r="P287" s="94"/>
    </row>
    <row r="288" spans="1:16" ht="31.5" x14ac:dyDescent="0.2">
      <c r="A288" s="42"/>
      <c r="B288" s="43" t="s">
        <v>35</v>
      </c>
      <c r="C288" s="44" t="s">
        <v>322</v>
      </c>
      <c r="D288" s="45" t="s">
        <v>36</v>
      </c>
      <c r="E288" s="105"/>
      <c r="F288" s="46">
        <v>300</v>
      </c>
      <c r="G288" s="46"/>
      <c r="H288" s="46">
        <v>300</v>
      </c>
      <c r="I288" s="47">
        <v>0</v>
      </c>
      <c r="J288" s="88"/>
      <c r="K288" s="47">
        <v>0</v>
      </c>
      <c r="L288" s="46">
        <v>300</v>
      </c>
      <c r="M288" s="46"/>
      <c r="N288" s="46">
        <v>300</v>
      </c>
      <c r="O288" s="94"/>
      <c r="P288" s="94"/>
    </row>
    <row r="289" spans="1:16" ht="15.75" x14ac:dyDescent="0.2">
      <c r="A289" s="42"/>
      <c r="B289" s="43" t="s">
        <v>54</v>
      </c>
      <c r="C289" s="44" t="s">
        <v>322</v>
      </c>
      <c r="D289" s="45" t="s">
        <v>55</v>
      </c>
      <c r="E289" s="105"/>
      <c r="F289" s="46">
        <v>10</v>
      </c>
      <c r="G289" s="46"/>
      <c r="H289" s="46">
        <v>10</v>
      </c>
      <c r="I289" s="47">
        <v>0</v>
      </c>
      <c r="J289" s="88"/>
      <c r="K289" s="47">
        <v>0</v>
      </c>
      <c r="L289" s="46">
        <v>10</v>
      </c>
      <c r="M289" s="46"/>
      <c r="N289" s="46">
        <v>10</v>
      </c>
      <c r="O289" s="94"/>
      <c r="P289" s="94"/>
    </row>
    <row r="290" spans="1:16" ht="31.5" x14ac:dyDescent="0.2">
      <c r="A290" s="42"/>
      <c r="B290" s="43" t="s">
        <v>468</v>
      </c>
      <c r="C290" s="44" t="s">
        <v>466</v>
      </c>
      <c r="D290" s="45"/>
      <c r="E290" s="105"/>
      <c r="F290" s="46"/>
      <c r="G290" s="46"/>
      <c r="H290" s="46"/>
      <c r="I290" s="47"/>
      <c r="J290" s="88">
        <f>SUM(J291)</f>
        <v>600</v>
      </c>
      <c r="K290" s="88">
        <f>SUM(K291)</f>
        <v>600</v>
      </c>
      <c r="L290" s="46"/>
      <c r="M290" s="46">
        <f>SUM(J290)</f>
        <v>600</v>
      </c>
      <c r="N290" s="46">
        <f>SUM(K290)</f>
        <v>600</v>
      </c>
      <c r="O290" s="94"/>
      <c r="P290" s="94"/>
    </row>
    <row r="291" spans="1:16" ht="31.5" x14ac:dyDescent="0.2">
      <c r="A291" s="42"/>
      <c r="B291" s="43" t="s">
        <v>35</v>
      </c>
      <c r="C291" s="44" t="s">
        <v>466</v>
      </c>
      <c r="D291" s="45" t="s">
        <v>36</v>
      </c>
      <c r="E291" s="105"/>
      <c r="F291" s="46"/>
      <c r="G291" s="46"/>
      <c r="H291" s="46"/>
      <c r="I291" s="47"/>
      <c r="J291" s="88">
        <v>600</v>
      </c>
      <c r="K291" s="47">
        <f>SUM(J291)</f>
        <v>600</v>
      </c>
      <c r="L291" s="46"/>
      <c r="M291" s="46">
        <f>SUM(J291)</f>
        <v>600</v>
      </c>
      <c r="N291" s="46">
        <f>SUM(K291)</f>
        <v>600</v>
      </c>
      <c r="O291" s="94"/>
      <c r="P291" s="94"/>
    </row>
    <row r="292" spans="1:16" ht="31.5" x14ac:dyDescent="0.2">
      <c r="A292" s="49"/>
      <c r="B292" s="50" t="s">
        <v>323</v>
      </c>
      <c r="C292" s="51" t="s">
        <v>324</v>
      </c>
      <c r="D292" s="52" t="s">
        <v>26</v>
      </c>
      <c r="E292" s="106"/>
      <c r="F292" s="53">
        <f t="shared" ref="F292:N294" si="60">F293</f>
        <v>150</v>
      </c>
      <c r="G292" s="53">
        <f t="shared" si="60"/>
        <v>0</v>
      </c>
      <c r="H292" s="53">
        <f t="shared" si="60"/>
        <v>150</v>
      </c>
      <c r="I292" s="54">
        <f t="shared" si="60"/>
        <v>0</v>
      </c>
      <c r="J292" s="53">
        <f>J293</f>
        <v>0</v>
      </c>
      <c r="K292" s="54">
        <f t="shared" si="60"/>
        <v>0</v>
      </c>
      <c r="L292" s="53">
        <f t="shared" si="60"/>
        <v>150</v>
      </c>
      <c r="M292" s="53">
        <f t="shared" si="60"/>
        <v>0</v>
      </c>
      <c r="N292" s="53">
        <f t="shared" si="60"/>
        <v>150</v>
      </c>
      <c r="O292" s="95"/>
      <c r="P292" s="95"/>
    </row>
    <row r="293" spans="1:16" ht="47.25" x14ac:dyDescent="0.2">
      <c r="A293" s="42"/>
      <c r="B293" s="43" t="s">
        <v>325</v>
      </c>
      <c r="C293" s="44" t="s">
        <v>326</v>
      </c>
      <c r="D293" s="45" t="s">
        <v>26</v>
      </c>
      <c r="E293" s="105"/>
      <c r="F293" s="46">
        <f t="shared" si="60"/>
        <v>150</v>
      </c>
      <c r="G293" s="46">
        <f t="shared" si="60"/>
        <v>0</v>
      </c>
      <c r="H293" s="46">
        <f t="shared" si="60"/>
        <v>150</v>
      </c>
      <c r="I293" s="47">
        <f t="shared" si="60"/>
        <v>0</v>
      </c>
      <c r="J293" s="88"/>
      <c r="K293" s="47">
        <f t="shared" si="60"/>
        <v>0</v>
      </c>
      <c r="L293" s="46">
        <f t="shared" si="60"/>
        <v>150</v>
      </c>
      <c r="M293" s="46">
        <f t="shared" si="60"/>
        <v>0</v>
      </c>
      <c r="N293" s="46">
        <f t="shared" si="60"/>
        <v>150</v>
      </c>
      <c r="O293" s="94"/>
      <c r="P293" s="94"/>
    </row>
    <row r="294" spans="1:16" ht="33" customHeight="1" x14ac:dyDescent="0.2">
      <c r="A294" s="42"/>
      <c r="B294" s="43" t="s">
        <v>327</v>
      </c>
      <c r="C294" s="44" t="s">
        <v>328</v>
      </c>
      <c r="D294" s="45" t="s">
        <v>26</v>
      </c>
      <c r="E294" s="105"/>
      <c r="F294" s="46">
        <f t="shared" si="60"/>
        <v>150</v>
      </c>
      <c r="G294" s="46">
        <f t="shared" si="60"/>
        <v>0</v>
      </c>
      <c r="H294" s="46">
        <f t="shared" si="60"/>
        <v>150</v>
      </c>
      <c r="I294" s="47">
        <f t="shared" si="60"/>
        <v>0</v>
      </c>
      <c r="J294" s="88"/>
      <c r="K294" s="47">
        <f t="shared" si="60"/>
        <v>0</v>
      </c>
      <c r="L294" s="46">
        <f t="shared" si="60"/>
        <v>150</v>
      </c>
      <c r="M294" s="46">
        <f t="shared" si="60"/>
        <v>0</v>
      </c>
      <c r="N294" s="46">
        <f t="shared" si="60"/>
        <v>150</v>
      </c>
      <c r="O294" s="94"/>
      <c r="P294" s="94"/>
    </row>
    <row r="295" spans="1:16" ht="31.5" x14ac:dyDescent="0.2">
      <c r="A295" s="42"/>
      <c r="B295" s="43" t="s">
        <v>35</v>
      </c>
      <c r="C295" s="44" t="s">
        <v>328</v>
      </c>
      <c r="D295" s="45" t="s">
        <v>36</v>
      </c>
      <c r="E295" s="105"/>
      <c r="F295" s="46">
        <v>150</v>
      </c>
      <c r="G295" s="46"/>
      <c r="H295" s="46">
        <v>150</v>
      </c>
      <c r="I295" s="47">
        <v>0</v>
      </c>
      <c r="J295" s="88"/>
      <c r="K295" s="47">
        <v>0</v>
      </c>
      <c r="L295" s="46">
        <v>150</v>
      </c>
      <c r="M295" s="46"/>
      <c r="N295" s="46">
        <v>150</v>
      </c>
      <c r="O295" s="94"/>
      <c r="P295" s="94"/>
    </row>
    <row r="296" spans="1:16" ht="15.75" x14ac:dyDescent="0.2">
      <c r="A296" s="42"/>
      <c r="B296" s="43"/>
      <c r="C296" s="44"/>
      <c r="D296" s="45"/>
      <c r="E296" s="105"/>
      <c r="F296" s="46"/>
      <c r="G296" s="46"/>
      <c r="H296" s="46"/>
      <c r="I296" s="47"/>
      <c r="J296" s="88"/>
      <c r="K296" s="88"/>
      <c r="L296" s="46"/>
      <c r="M296" s="46"/>
      <c r="N296" s="46"/>
      <c r="O296" s="94"/>
      <c r="P296" s="94"/>
    </row>
    <row r="297" spans="1:16" ht="31.5" x14ac:dyDescent="0.2">
      <c r="A297" s="49"/>
      <c r="B297" s="50" t="s">
        <v>329</v>
      </c>
      <c r="C297" s="51" t="s">
        <v>330</v>
      </c>
      <c r="D297" s="52" t="s">
        <v>26</v>
      </c>
      <c r="E297" s="106"/>
      <c r="F297" s="53">
        <f t="shared" ref="F297:N298" si="61">F298</f>
        <v>2600</v>
      </c>
      <c r="G297" s="53">
        <f t="shared" si="61"/>
        <v>300</v>
      </c>
      <c r="H297" s="53">
        <f t="shared" si="61"/>
        <v>2900</v>
      </c>
      <c r="I297" s="54">
        <f t="shared" si="61"/>
        <v>0</v>
      </c>
      <c r="J297" s="53">
        <f>SUM(J302)</f>
        <v>100</v>
      </c>
      <c r="K297" s="53">
        <f>SUM(K302)</f>
        <v>100</v>
      </c>
      <c r="L297" s="53">
        <f t="shared" si="61"/>
        <v>2600</v>
      </c>
      <c r="M297" s="53">
        <f>M298+M302</f>
        <v>400</v>
      </c>
      <c r="N297" s="53">
        <f>N298+N302</f>
        <v>3000</v>
      </c>
      <c r="O297" s="95"/>
      <c r="P297" s="95"/>
    </row>
    <row r="298" spans="1:16" ht="96" customHeight="1" x14ac:dyDescent="0.2">
      <c r="A298" s="42"/>
      <c r="B298" s="126" t="s">
        <v>331</v>
      </c>
      <c r="C298" s="44" t="s">
        <v>332</v>
      </c>
      <c r="D298" s="45" t="s">
        <v>26</v>
      </c>
      <c r="E298" s="105"/>
      <c r="F298" s="46">
        <f t="shared" si="61"/>
        <v>2600</v>
      </c>
      <c r="G298" s="46">
        <f t="shared" si="61"/>
        <v>300</v>
      </c>
      <c r="H298" s="46">
        <f t="shared" si="61"/>
        <v>2900</v>
      </c>
      <c r="I298" s="47">
        <f t="shared" si="61"/>
        <v>0</v>
      </c>
      <c r="J298" s="88"/>
      <c r="K298" s="47">
        <f t="shared" si="61"/>
        <v>0</v>
      </c>
      <c r="L298" s="46">
        <f t="shared" si="61"/>
        <v>2600</v>
      </c>
      <c r="M298" s="46">
        <f t="shared" si="61"/>
        <v>300</v>
      </c>
      <c r="N298" s="46">
        <f t="shared" si="61"/>
        <v>2900</v>
      </c>
      <c r="O298" s="94"/>
      <c r="P298" s="94"/>
    </row>
    <row r="299" spans="1:16" ht="31.5" x14ac:dyDescent="0.2">
      <c r="A299" s="42"/>
      <c r="B299" s="43" t="s">
        <v>333</v>
      </c>
      <c r="C299" s="44" t="s">
        <v>334</v>
      </c>
      <c r="D299" s="45" t="s">
        <v>26</v>
      </c>
      <c r="E299" s="105"/>
      <c r="F299" s="46">
        <f>F300+F301</f>
        <v>2600</v>
      </c>
      <c r="G299" s="46">
        <f>G300+G301</f>
        <v>300</v>
      </c>
      <c r="H299" s="46">
        <f>H300+H301</f>
        <v>2900</v>
      </c>
      <c r="I299" s="47">
        <f>I300+I301</f>
        <v>0</v>
      </c>
      <c r="J299" s="88"/>
      <c r="K299" s="47">
        <f>K300+K301</f>
        <v>0</v>
      </c>
      <c r="L299" s="46">
        <f>L300+L301</f>
        <v>2600</v>
      </c>
      <c r="M299" s="46">
        <f>M300+M301</f>
        <v>300</v>
      </c>
      <c r="N299" s="46">
        <f>N300+N301</f>
        <v>2900</v>
      </c>
      <c r="O299" s="94"/>
      <c r="P299" s="94"/>
    </row>
    <row r="300" spans="1:16" ht="31.5" x14ac:dyDescent="0.2">
      <c r="A300" s="42"/>
      <c r="B300" s="43" t="s">
        <v>35</v>
      </c>
      <c r="C300" s="44" t="s">
        <v>334</v>
      </c>
      <c r="D300" s="45" t="s">
        <v>36</v>
      </c>
      <c r="E300" s="105"/>
      <c r="F300" s="46">
        <v>2536.8000000000002</v>
      </c>
      <c r="G300" s="46">
        <f>150+150</f>
        <v>300</v>
      </c>
      <c r="H300" s="46">
        <f>2536.8+G300</f>
        <v>2836.8</v>
      </c>
      <c r="I300" s="47">
        <v>0</v>
      </c>
      <c r="J300" s="88"/>
      <c r="K300" s="47">
        <v>0</v>
      </c>
      <c r="L300" s="46">
        <v>2536.8000000000002</v>
      </c>
      <c r="M300" s="46">
        <f>SUM(G300)</f>
        <v>300</v>
      </c>
      <c r="N300" s="46">
        <f>2536.8+M300</f>
        <v>2836.8</v>
      </c>
      <c r="O300" s="94"/>
      <c r="P300" s="94"/>
    </row>
    <row r="301" spans="1:16" ht="15.75" x14ac:dyDescent="0.2">
      <c r="A301" s="42"/>
      <c r="B301" s="43" t="s">
        <v>41</v>
      </c>
      <c r="C301" s="44" t="s">
        <v>334</v>
      </c>
      <c r="D301" s="45" t="s">
        <v>42</v>
      </c>
      <c r="E301" s="105"/>
      <c r="F301" s="46">
        <v>63.2</v>
      </c>
      <c r="G301" s="46"/>
      <c r="H301" s="46">
        <v>63.2</v>
      </c>
      <c r="I301" s="47">
        <v>0</v>
      </c>
      <c r="J301" s="88"/>
      <c r="K301" s="47">
        <v>0</v>
      </c>
      <c r="L301" s="46">
        <v>63.2</v>
      </c>
      <c r="M301" s="46"/>
      <c r="N301" s="46">
        <v>63.2</v>
      </c>
      <c r="O301" s="94"/>
      <c r="P301" s="94"/>
    </row>
    <row r="302" spans="1:16" ht="47.25" x14ac:dyDescent="0.2">
      <c r="A302" s="42"/>
      <c r="B302" s="43" t="s">
        <v>465</v>
      </c>
      <c r="C302" s="44" t="s">
        <v>463</v>
      </c>
      <c r="D302" s="45"/>
      <c r="E302" s="105"/>
      <c r="F302" s="46"/>
      <c r="G302" s="46"/>
      <c r="H302" s="46"/>
      <c r="I302" s="47"/>
      <c r="J302" s="88">
        <f>SUM(J303)</f>
        <v>100</v>
      </c>
      <c r="K302" s="88">
        <f>SUM(K303)</f>
        <v>100</v>
      </c>
      <c r="L302" s="46"/>
      <c r="M302" s="46">
        <f>SUM(J302)</f>
        <v>100</v>
      </c>
      <c r="N302" s="46">
        <f>SUM(K302)</f>
        <v>100</v>
      </c>
      <c r="O302" s="94"/>
      <c r="P302" s="94"/>
    </row>
    <row r="303" spans="1:16" ht="31.5" x14ac:dyDescent="0.2">
      <c r="A303" s="42"/>
      <c r="B303" s="43" t="s">
        <v>35</v>
      </c>
      <c r="C303" s="44" t="s">
        <v>464</v>
      </c>
      <c r="D303" s="45" t="s">
        <v>36</v>
      </c>
      <c r="E303" s="105"/>
      <c r="F303" s="46"/>
      <c r="G303" s="46"/>
      <c r="H303" s="46"/>
      <c r="I303" s="47"/>
      <c r="J303" s="88">
        <v>100</v>
      </c>
      <c r="K303" s="47">
        <f>SUM(J303)</f>
        <v>100</v>
      </c>
      <c r="L303" s="46"/>
      <c r="M303" s="46">
        <f>SUM(J303)</f>
        <v>100</v>
      </c>
      <c r="N303" s="46">
        <f>SUM(K303)</f>
        <v>100</v>
      </c>
      <c r="O303" s="94"/>
      <c r="P303" s="94"/>
    </row>
    <row r="304" spans="1:16" ht="31.5" x14ac:dyDescent="0.2">
      <c r="A304" s="19" t="s">
        <v>335</v>
      </c>
      <c r="B304" s="20" t="s">
        <v>336</v>
      </c>
      <c r="C304" s="21" t="s">
        <v>337</v>
      </c>
      <c r="D304" s="22" t="s">
        <v>26</v>
      </c>
      <c r="E304" s="104"/>
      <c r="F304" s="23">
        <f>F305+F315+F312</f>
        <v>36701.800000000003</v>
      </c>
      <c r="G304" s="23">
        <f>G305+G315+G312</f>
        <v>43.5</v>
      </c>
      <c r="H304" s="23">
        <f>H305+H315+H312</f>
        <v>36745.300000000003</v>
      </c>
      <c r="I304" s="24">
        <f t="shared" ref="F304:N305" si="62">I305</f>
        <v>119390.6</v>
      </c>
      <c r="J304" s="23">
        <f>J305+J315</f>
        <v>0</v>
      </c>
      <c r="K304" s="24">
        <f t="shared" si="62"/>
        <v>119390.6</v>
      </c>
      <c r="L304" s="23">
        <f>L305+L315+L312</f>
        <v>156092.40000000002</v>
      </c>
      <c r="M304" s="23">
        <f>M305+M315+M312</f>
        <v>43.5</v>
      </c>
      <c r="N304" s="23">
        <f>N305+N315+N312</f>
        <v>156135.90000000002</v>
      </c>
      <c r="O304" s="93"/>
      <c r="P304" s="93"/>
    </row>
    <row r="305" spans="1:17" ht="15.75" x14ac:dyDescent="0.2">
      <c r="A305" s="49"/>
      <c r="B305" s="50" t="s">
        <v>338</v>
      </c>
      <c r="C305" s="51" t="s">
        <v>339</v>
      </c>
      <c r="D305" s="52" t="s">
        <v>26</v>
      </c>
      <c r="E305" s="106"/>
      <c r="F305" s="53">
        <f t="shared" si="62"/>
        <v>26375.800000000003</v>
      </c>
      <c r="G305" s="53">
        <f t="shared" si="62"/>
        <v>43.5</v>
      </c>
      <c r="H305" s="53">
        <f t="shared" si="62"/>
        <v>26419.300000000003</v>
      </c>
      <c r="I305" s="54">
        <f t="shared" si="62"/>
        <v>119390.6</v>
      </c>
      <c r="J305" s="53">
        <f t="shared" si="62"/>
        <v>0</v>
      </c>
      <c r="K305" s="54">
        <f t="shared" si="62"/>
        <v>119390.6</v>
      </c>
      <c r="L305" s="53">
        <f t="shared" si="62"/>
        <v>145766.40000000002</v>
      </c>
      <c r="M305" s="53">
        <f t="shared" si="62"/>
        <v>43.5</v>
      </c>
      <c r="N305" s="53">
        <f t="shared" si="62"/>
        <v>145809.90000000002</v>
      </c>
      <c r="O305" s="95"/>
      <c r="P305" s="95"/>
    </row>
    <row r="306" spans="1:17" ht="47.25" x14ac:dyDescent="0.2">
      <c r="A306" s="42"/>
      <c r="B306" s="43" t="s">
        <v>340</v>
      </c>
      <c r="C306" s="44" t="s">
        <v>341</v>
      </c>
      <c r="D306" s="45" t="s">
        <v>26</v>
      </c>
      <c r="E306" s="105"/>
      <c r="F306" s="46">
        <f>F307+F310</f>
        <v>26375.800000000003</v>
      </c>
      <c r="G306" s="46">
        <f>G307+G310</f>
        <v>43.5</v>
      </c>
      <c r="H306" s="46">
        <f>H307+H310</f>
        <v>26419.300000000003</v>
      </c>
      <c r="I306" s="47">
        <f>I307+I310</f>
        <v>119390.6</v>
      </c>
      <c r="J306" s="88">
        <f>SUM(J310)</f>
        <v>0</v>
      </c>
      <c r="K306" s="47">
        <f>K307+K310</f>
        <v>119390.6</v>
      </c>
      <c r="L306" s="46">
        <f>L307+L310</f>
        <v>145766.40000000002</v>
      </c>
      <c r="M306" s="46">
        <f>M307+M310</f>
        <v>43.5</v>
      </c>
      <c r="N306" s="46">
        <f>N307+N310</f>
        <v>145809.90000000002</v>
      </c>
      <c r="O306" s="94"/>
      <c r="P306" s="94"/>
    </row>
    <row r="307" spans="1:17" ht="36" customHeight="1" x14ac:dyDescent="0.2">
      <c r="A307" s="42"/>
      <c r="B307" s="43" t="s">
        <v>342</v>
      </c>
      <c r="C307" s="44" t="s">
        <v>343</v>
      </c>
      <c r="D307" s="45" t="s">
        <v>26</v>
      </c>
      <c r="E307" s="105"/>
      <c r="F307" s="46">
        <f>F308+F309</f>
        <v>7523.6</v>
      </c>
      <c r="G307" s="46">
        <f>G308+G309</f>
        <v>-540</v>
      </c>
      <c r="H307" s="46">
        <f>H308+H309</f>
        <v>6983.6</v>
      </c>
      <c r="I307" s="47">
        <f>I308+I309</f>
        <v>0</v>
      </c>
      <c r="J307" s="88"/>
      <c r="K307" s="47">
        <f>K308+K309</f>
        <v>0</v>
      </c>
      <c r="L307" s="46">
        <f>L308+L309</f>
        <v>7523.6</v>
      </c>
      <c r="M307" s="46">
        <f>M308+M309</f>
        <v>-540</v>
      </c>
      <c r="N307" s="46">
        <f>N308+N309</f>
        <v>6983.6</v>
      </c>
      <c r="O307" s="94"/>
      <c r="P307" s="94"/>
    </row>
    <row r="308" spans="1:17" ht="31.5" x14ac:dyDescent="0.2">
      <c r="A308" s="42"/>
      <c r="B308" s="43" t="s">
        <v>35</v>
      </c>
      <c r="C308" s="44" t="s">
        <v>343</v>
      </c>
      <c r="D308" s="45" t="s">
        <v>36</v>
      </c>
      <c r="E308" s="105"/>
      <c r="F308" s="46">
        <v>1738</v>
      </c>
      <c r="G308" s="46"/>
      <c r="H308" s="46">
        <v>1738</v>
      </c>
      <c r="I308" s="47">
        <v>0</v>
      </c>
      <c r="J308" s="88"/>
      <c r="K308" s="47">
        <v>0</v>
      </c>
      <c r="L308" s="46">
        <f t="shared" ref="L308:N309" si="63">SUM(F308)</f>
        <v>1738</v>
      </c>
      <c r="M308" s="71">
        <f t="shared" si="63"/>
        <v>0</v>
      </c>
      <c r="N308" s="71">
        <f t="shared" si="63"/>
        <v>1738</v>
      </c>
      <c r="O308" s="94"/>
      <c r="P308" s="94"/>
    </row>
    <row r="309" spans="1:17" ht="31.5" x14ac:dyDescent="0.2">
      <c r="A309" s="42"/>
      <c r="B309" s="43" t="s">
        <v>131</v>
      </c>
      <c r="C309" s="44" t="s">
        <v>343</v>
      </c>
      <c r="D309" s="45" t="s">
        <v>132</v>
      </c>
      <c r="E309" s="105"/>
      <c r="F309" s="71">
        <v>5785.6</v>
      </c>
      <c r="G309" s="71">
        <v>-540</v>
      </c>
      <c r="H309" s="71">
        <f>SUM(F309)+G309</f>
        <v>5245.6</v>
      </c>
      <c r="I309" s="47">
        <v>0</v>
      </c>
      <c r="J309" s="114"/>
      <c r="K309" s="47">
        <v>0</v>
      </c>
      <c r="L309" s="71">
        <f>SUM(F309)</f>
        <v>5785.6</v>
      </c>
      <c r="M309" s="71">
        <f t="shared" si="63"/>
        <v>-540</v>
      </c>
      <c r="N309" s="71">
        <f>SUM(H309)</f>
        <v>5245.6</v>
      </c>
      <c r="O309" s="94"/>
      <c r="P309" s="94"/>
    </row>
    <row r="310" spans="1:17" ht="15.75" x14ac:dyDescent="0.2">
      <c r="A310" s="42"/>
      <c r="B310" s="43" t="s">
        <v>344</v>
      </c>
      <c r="C310" s="44" t="s">
        <v>345</v>
      </c>
      <c r="D310" s="45" t="s">
        <v>26</v>
      </c>
      <c r="E310" s="105"/>
      <c r="F310" s="46">
        <f>F311</f>
        <v>18852.2</v>
      </c>
      <c r="G310" s="46">
        <f>G311</f>
        <v>583.5</v>
      </c>
      <c r="H310" s="46">
        <f>H311</f>
        <v>19435.7</v>
      </c>
      <c r="I310" s="47">
        <f>I311</f>
        <v>119390.6</v>
      </c>
      <c r="J310" s="113"/>
      <c r="K310" s="47">
        <f>K311</f>
        <v>119390.6</v>
      </c>
      <c r="L310" s="46">
        <f>L311</f>
        <v>138242.80000000002</v>
      </c>
      <c r="M310" s="46">
        <f>M311</f>
        <v>583.5</v>
      </c>
      <c r="N310" s="46">
        <f>N311</f>
        <v>138826.30000000002</v>
      </c>
      <c r="O310" s="94"/>
      <c r="P310" s="94"/>
    </row>
    <row r="311" spans="1:17" ht="31.5" x14ac:dyDescent="0.2">
      <c r="A311" s="42"/>
      <c r="B311" s="43" t="s">
        <v>131</v>
      </c>
      <c r="C311" s="44" t="s">
        <v>345</v>
      </c>
      <c r="D311" s="45" t="s">
        <v>132</v>
      </c>
      <c r="E311" s="105"/>
      <c r="F311" s="77">
        <v>18852.2</v>
      </c>
      <c r="G311" s="77">
        <f>43.5+540</f>
        <v>583.5</v>
      </c>
      <c r="H311" s="77">
        <f>18852.2+G311</f>
        <v>19435.7</v>
      </c>
      <c r="I311" s="47">
        <v>119390.6</v>
      </c>
      <c r="J311" s="113"/>
      <c r="K311" s="47">
        <f>SUM(I311)</f>
        <v>119390.6</v>
      </c>
      <c r="L311" s="77">
        <f>SUM(F311)+I311</f>
        <v>138242.80000000002</v>
      </c>
      <c r="M311" s="77">
        <f>SUM(G311)+J311</f>
        <v>583.5</v>
      </c>
      <c r="N311" s="77">
        <f>SUM(H311)+K311</f>
        <v>138826.30000000002</v>
      </c>
      <c r="O311" s="94"/>
      <c r="P311" s="94"/>
    </row>
    <row r="312" spans="1:17" ht="15.75" x14ac:dyDescent="0.2">
      <c r="A312" s="42"/>
      <c r="B312" s="43" t="s">
        <v>346</v>
      </c>
      <c r="C312" s="44" t="s">
        <v>347</v>
      </c>
      <c r="D312" s="45"/>
      <c r="E312" s="105"/>
      <c r="F312" s="77">
        <v>8102</v>
      </c>
      <c r="G312" s="77">
        <f>SUM(G314)</f>
        <v>0</v>
      </c>
      <c r="H312" s="77">
        <f>SUM(F312)</f>
        <v>8102</v>
      </c>
      <c r="I312" s="47"/>
      <c r="J312" s="113"/>
      <c r="K312" s="47"/>
      <c r="L312" s="77">
        <f>SUM(F312)</f>
        <v>8102</v>
      </c>
      <c r="M312" s="77">
        <f>SUM(G312)</f>
        <v>0</v>
      </c>
      <c r="N312" s="77">
        <f>SUM(H312)</f>
        <v>8102</v>
      </c>
      <c r="O312" s="94"/>
      <c r="P312" s="94"/>
    </row>
    <row r="313" spans="1:17" ht="1.5" customHeight="1" x14ac:dyDescent="0.2">
      <c r="A313" s="42"/>
      <c r="B313" s="43"/>
      <c r="C313" s="44"/>
      <c r="D313" s="45"/>
      <c r="E313" s="105"/>
      <c r="F313" s="77"/>
      <c r="G313" s="77">
        <f>SUM(G314)</f>
        <v>0</v>
      </c>
      <c r="H313" s="77">
        <f>SUM(G313)</f>
        <v>0</v>
      </c>
      <c r="I313" s="47"/>
      <c r="J313" s="113"/>
      <c r="K313" s="47"/>
      <c r="L313" s="77"/>
      <c r="M313" s="77">
        <f>SUM(G313)</f>
        <v>0</v>
      </c>
      <c r="N313" s="77">
        <f>SUM(M313)</f>
        <v>0</v>
      </c>
      <c r="O313" s="94"/>
      <c r="P313" s="94"/>
    </row>
    <row r="314" spans="1:17" ht="31.5" x14ac:dyDescent="0.2">
      <c r="A314" s="42"/>
      <c r="B314" s="43" t="s">
        <v>131</v>
      </c>
      <c r="C314" s="44" t="s">
        <v>347</v>
      </c>
      <c r="D314" s="45" t="s">
        <v>132</v>
      </c>
      <c r="E314" s="105"/>
      <c r="F314" s="77">
        <v>8102</v>
      </c>
      <c r="G314" s="77"/>
      <c r="H314" s="77">
        <f>SUM(F314)</f>
        <v>8102</v>
      </c>
      <c r="I314" s="47"/>
      <c r="J314" s="113"/>
      <c r="K314" s="47"/>
      <c r="L314" s="77">
        <f>SUM(F314)</f>
        <v>8102</v>
      </c>
      <c r="M314" s="77">
        <f>SUM(G314)</f>
        <v>0</v>
      </c>
      <c r="N314" s="77">
        <f>SUM(H314)</f>
        <v>8102</v>
      </c>
      <c r="O314" s="94"/>
      <c r="P314" s="94"/>
    </row>
    <row r="315" spans="1:17" ht="15.75" x14ac:dyDescent="0.2">
      <c r="A315" s="42"/>
      <c r="B315" s="50" t="s">
        <v>348</v>
      </c>
      <c r="C315" s="51" t="s">
        <v>349</v>
      </c>
      <c r="D315" s="52"/>
      <c r="E315" s="106"/>
      <c r="F315" s="53">
        <f>SUM(F317)</f>
        <v>2224</v>
      </c>
      <c r="G315" s="53">
        <f>SUM(G317)</f>
        <v>0</v>
      </c>
      <c r="H315" s="53">
        <f>SUM(H317)</f>
        <v>2224</v>
      </c>
      <c r="I315" s="54"/>
      <c r="J315" s="53">
        <f>SUM(J317)</f>
        <v>0</v>
      </c>
      <c r="K315" s="54"/>
      <c r="L315" s="53">
        <f>SUM(L317)</f>
        <v>2224</v>
      </c>
      <c r="M315" s="53">
        <f>SUM(M317)</f>
        <v>0</v>
      </c>
      <c r="N315" s="53">
        <f>SUM(N317)</f>
        <v>2224</v>
      </c>
      <c r="O315" s="95"/>
      <c r="P315" s="95"/>
    </row>
    <row r="316" spans="1:17" ht="47.25" x14ac:dyDescent="0.2">
      <c r="A316" s="42"/>
      <c r="B316" s="43" t="s">
        <v>350</v>
      </c>
      <c r="C316" s="44" t="s">
        <v>351</v>
      </c>
      <c r="D316" s="45"/>
      <c r="E316" s="105"/>
      <c r="F316" s="46">
        <f>SUM(F317)</f>
        <v>2224</v>
      </c>
      <c r="G316" s="46">
        <f>SUM(G317)</f>
        <v>0</v>
      </c>
      <c r="H316" s="46">
        <f>SUM(H317)</f>
        <v>2224</v>
      </c>
      <c r="I316" s="47"/>
      <c r="J316" s="88"/>
      <c r="K316" s="47"/>
      <c r="L316" s="46">
        <f>SUM(L317)</f>
        <v>2224</v>
      </c>
      <c r="M316" s="46">
        <f>SUM(M317)</f>
        <v>0</v>
      </c>
      <c r="N316" s="46">
        <f>SUM(N317)</f>
        <v>2224</v>
      </c>
      <c r="O316" s="94"/>
      <c r="P316" s="94"/>
    </row>
    <row r="317" spans="1:17" ht="15.75" x14ac:dyDescent="0.2">
      <c r="A317" s="42"/>
      <c r="B317" s="43" t="s">
        <v>348</v>
      </c>
      <c r="C317" s="44" t="s">
        <v>352</v>
      </c>
      <c r="D317" s="45"/>
      <c r="E317" s="105"/>
      <c r="F317" s="46">
        <f>1964+F318</f>
        <v>2224</v>
      </c>
      <c r="G317" s="46"/>
      <c r="H317" s="46">
        <f>1964+H318</f>
        <v>2224</v>
      </c>
      <c r="I317" s="47"/>
      <c r="J317" s="88"/>
      <c r="K317" s="47"/>
      <c r="L317" s="46">
        <f t="shared" ref="L317:N318" si="64">SUM(F317)</f>
        <v>2224</v>
      </c>
      <c r="M317" s="46">
        <f t="shared" si="64"/>
        <v>0</v>
      </c>
      <c r="N317" s="46">
        <f t="shared" si="64"/>
        <v>2224</v>
      </c>
      <c r="O317" s="94"/>
      <c r="P317" s="94"/>
    </row>
    <row r="318" spans="1:17" ht="31.5" x14ac:dyDescent="0.2">
      <c r="A318" s="42"/>
      <c r="B318" s="43" t="s">
        <v>35</v>
      </c>
      <c r="C318" s="44" t="s">
        <v>352</v>
      </c>
      <c r="D318" s="45" t="s">
        <v>36</v>
      </c>
      <c r="E318" s="105"/>
      <c r="F318" s="46">
        <v>260</v>
      </c>
      <c r="G318" s="46"/>
      <c r="H318" s="46">
        <v>260</v>
      </c>
      <c r="I318" s="47"/>
      <c r="J318" s="88"/>
      <c r="K318" s="47"/>
      <c r="L318" s="46">
        <f t="shared" si="64"/>
        <v>260</v>
      </c>
      <c r="M318" s="46">
        <f t="shared" si="64"/>
        <v>0</v>
      </c>
      <c r="N318" s="46">
        <f t="shared" si="64"/>
        <v>260</v>
      </c>
      <c r="O318" s="94"/>
      <c r="P318" s="94"/>
    </row>
    <row r="319" spans="1:17" ht="31.5" x14ac:dyDescent="0.2">
      <c r="A319" s="42"/>
      <c r="B319" s="43" t="s">
        <v>131</v>
      </c>
      <c r="C319" s="44" t="s">
        <v>352</v>
      </c>
      <c r="D319" s="45" t="s">
        <v>132</v>
      </c>
      <c r="E319" s="105"/>
      <c r="F319" s="46">
        <v>1964</v>
      </c>
      <c r="G319" s="46"/>
      <c r="H319" s="46">
        <f>1964+G319</f>
        <v>1964</v>
      </c>
      <c r="I319" s="47"/>
      <c r="J319" s="88"/>
      <c r="K319" s="47"/>
      <c r="L319" s="46">
        <v>1964</v>
      </c>
      <c r="M319" s="46">
        <f>SUM(G319)</f>
        <v>0</v>
      </c>
      <c r="N319" s="46">
        <f>1964+M319</f>
        <v>1964</v>
      </c>
      <c r="O319" s="94"/>
      <c r="P319" s="94"/>
    </row>
    <row r="320" spans="1:17" ht="31.5" x14ac:dyDescent="0.2">
      <c r="A320" s="19" t="s">
        <v>353</v>
      </c>
      <c r="B320" s="20" t="s">
        <v>354</v>
      </c>
      <c r="C320" s="21" t="s">
        <v>355</v>
      </c>
      <c r="D320" s="22" t="s">
        <v>26</v>
      </c>
      <c r="E320" s="104"/>
      <c r="F320" s="23">
        <f t="shared" ref="F320:N320" si="65">F321+F334+F340</f>
        <v>62990.299999999996</v>
      </c>
      <c r="G320" s="23">
        <f t="shared" si="65"/>
        <v>4307.2000000000007</v>
      </c>
      <c r="H320" s="23">
        <f t="shared" si="65"/>
        <v>67297.5</v>
      </c>
      <c r="I320" s="24">
        <f t="shared" si="65"/>
        <v>0</v>
      </c>
      <c r="J320" s="23">
        <f t="shared" si="65"/>
        <v>0</v>
      </c>
      <c r="K320" s="24">
        <f t="shared" si="65"/>
        <v>0</v>
      </c>
      <c r="L320" s="23">
        <f t="shared" si="65"/>
        <v>62990.299999999996</v>
      </c>
      <c r="M320" s="23">
        <f t="shared" si="65"/>
        <v>4307.2000000000007</v>
      </c>
      <c r="N320" s="23">
        <f t="shared" si="65"/>
        <v>67297.5</v>
      </c>
      <c r="O320" s="93"/>
      <c r="P320" s="93"/>
      <c r="Q320" s="25"/>
    </row>
    <row r="321" spans="1:17" ht="15.75" x14ac:dyDescent="0.2">
      <c r="A321" s="49"/>
      <c r="B321" s="50" t="s">
        <v>356</v>
      </c>
      <c r="C321" s="51" t="s">
        <v>357</v>
      </c>
      <c r="D321" s="52" t="s">
        <v>26</v>
      </c>
      <c r="E321" s="106"/>
      <c r="F321" s="53">
        <f t="shared" ref="F321:N321" si="66">F322+F327</f>
        <v>48016.899999999994</v>
      </c>
      <c r="G321" s="53">
        <f>G322+G331+G327</f>
        <v>2582</v>
      </c>
      <c r="H321" s="53">
        <f t="shared" si="66"/>
        <v>50598.9</v>
      </c>
      <c r="I321" s="54">
        <f t="shared" si="66"/>
        <v>0</v>
      </c>
      <c r="J321" s="53">
        <f t="shared" si="66"/>
        <v>0</v>
      </c>
      <c r="K321" s="54">
        <f t="shared" si="66"/>
        <v>0</v>
      </c>
      <c r="L321" s="53">
        <f t="shared" si="66"/>
        <v>48016.899999999994</v>
      </c>
      <c r="M321" s="53">
        <f t="shared" si="66"/>
        <v>2582</v>
      </c>
      <c r="N321" s="53">
        <f t="shared" si="66"/>
        <v>50598.9</v>
      </c>
      <c r="O321" s="95"/>
      <c r="P321" s="95"/>
      <c r="Q321" s="55"/>
    </row>
    <row r="322" spans="1:17" ht="15.75" x14ac:dyDescent="0.2">
      <c r="A322" s="42"/>
      <c r="B322" s="43" t="s">
        <v>358</v>
      </c>
      <c r="C322" s="44" t="s">
        <v>359</v>
      </c>
      <c r="D322" s="45" t="s">
        <v>26</v>
      </c>
      <c r="E322" s="105"/>
      <c r="F322" s="46">
        <f>F323</f>
        <v>36772.1</v>
      </c>
      <c r="G322" s="46">
        <f>G323</f>
        <v>1542.8999999999999</v>
      </c>
      <c r="H322" s="46">
        <f>H323</f>
        <v>38315</v>
      </c>
      <c r="I322" s="47">
        <f>I323</f>
        <v>0</v>
      </c>
      <c r="J322" s="88"/>
      <c r="K322" s="47">
        <f>K323</f>
        <v>0</v>
      </c>
      <c r="L322" s="46">
        <f>L323</f>
        <v>36772.1</v>
      </c>
      <c r="M322" s="46">
        <f>M323</f>
        <v>1542.8999999999999</v>
      </c>
      <c r="N322" s="46">
        <f>N323</f>
        <v>38315</v>
      </c>
      <c r="O322" s="94"/>
      <c r="P322" s="94"/>
    </row>
    <row r="323" spans="1:17" ht="31.5" x14ac:dyDescent="0.2">
      <c r="A323" s="42"/>
      <c r="B323" s="43" t="s">
        <v>39</v>
      </c>
      <c r="C323" s="44" t="s">
        <v>360</v>
      </c>
      <c r="D323" s="45" t="s">
        <v>26</v>
      </c>
      <c r="E323" s="105"/>
      <c r="F323" s="46">
        <f>F324+F325+F326</f>
        <v>36772.1</v>
      </c>
      <c r="G323" s="46">
        <f>G324+G325</f>
        <v>1542.8999999999999</v>
      </c>
      <c r="H323" s="46">
        <f>H324+H325+H326</f>
        <v>38315</v>
      </c>
      <c r="I323" s="47">
        <f>I324+I325+I326</f>
        <v>0</v>
      </c>
      <c r="J323" s="88"/>
      <c r="K323" s="47">
        <f>K324+K325+K326</f>
        <v>0</v>
      </c>
      <c r="L323" s="46">
        <f>L324+L325+L326</f>
        <v>36772.1</v>
      </c>
      <c r="M323" s="46">
        <f>M324+M325+M326</f>
        <v>1542.8999999999999</v>
      </c>
      <c r="N323" s="46">
        <f>N324+N325+N326</f>
        <v>38315</v>
      </c>
      <c r="O323" s="94"/>
      <c r="P323" s="94"/>
    </row>
    <row r="324" spans="1:17" ht="64.150000000000006" customHeight="1" x14ac:dyDescent="0.2">
      <c r="A324" s="42"/>
      <c r="B324" s="43" t="s">
        <v>31</v>
      </c>
      <c r="C324" s="44" t="s">
        <v>360</v>
      </c>
      <c r="D324" s="45" t="s">
        <v>32</v>
      </c>
      <c r="E324" s="105"/>
      <c r="F324" s="46">
        <v>25843.200000000001</v>
      </c>
      <c r="G324" s="46">
        <v>1392.1</v>
      </c>
      <c r="H324" s="46">
        <f>25539+304.2+G324</f>
        <v>27235.3</v>
      </c>
      <c r="I324" s="47">
        <v>0</v>
      </c>
      <c r="J324" s="88"/>
      <c r="K324" s="47">
        <v>0</v>
      </c>
      <c r="L324" s="46">
        <f t="shared" ref="L324:N325" si="67">SUM(F324)</f>
        <v>25843.200000000001</v>
      </c>
      <c r="M324" s="46">
        <f t="shared" si="67"/>
        <v>1392.1</v>
      </c>
      <c r="N324" s="46">
        <f t="shared" si="67"/>
        <v>27235.3</v>
      </c>
      <c r="O324" s="94"/>
      <c r="P324" s="94"/>
    </row>
    <row r="325" spans="1:17" ht="31.5" x14ac:dyDescent="0.2">
      <c r="A325" s="42"/>
      <c r="B325" s="43" t="s">
        <v>35</v>
      </c>
      <c r="C325" s="44" t="s">
        <v>360</v>
      </c>
      <c r="D325" s="45" t="s">
        <v>36</v>
      </c>
      <c r="E325" s="105"/>
      <c r="F325" s="46">
        <v>10851.5</v>
      </c>
      <c r="G325" s="46">
        <v>150.80000000000001</v>
      </c>
      <c r="H325" s="46">
        <f>10851.5+G325</f>
        <v>11002.3</v>
      </c>
      <c r="I325" s="47">
        <v>0</v>
      </c>
      <c r="J325" s="88"/>
      <c r="K325" s="47">
        <v>0</v>
      </c>
      <c r="L325" s="46">
        <f t="shared" si="67"/>
        <v>10851.5</v>
      </c>
      <c r="M325" s="46">
        <f t="shared" si="67"/>
        <v>150.80000000000001</v>
      </c>
      <c r="N325" s="46">
        <f t="shared" si="67"/>
        <v>11002.3</v>
      </c>
      <c r="O325" s="94"/>
      <c r="P325" s="94"/>
    </row>
    <row r="326" spans="1:17" ht="15.75" x14ac:dyDescent="0.2">
      <c r="A326" s="42"/>
      <c r="B326" s="43" t="s">
        <v>41</v>
      </c>
      <c r="C326" s="44" t="s">
        <v>360</v>
      </c>
      <c r="D326" s="45" t="s">
        <v>42</v>
      </c>
      <c r="E326" s="105"/>
      <c r="F326" s="46">
        <v>77.400000000000006</v>
      </c>
      <c r="G326" s="46"/>
      <c r="H326" s="46">
        <v>77.400000000000006</v>
      </c>
      <c r="I326" s="47">
        <v>0</v>
      </c>
      <c r="J326" s="88"/>
      <c r="K326" s="47">
        <v>0</v>
      </c>
      <c r="L326" s="46">
        <v>77.400000000000006</v>
      </c>
      <c r="M326" s="46"/>
      <c r="N326" s="46">
        <v>77.400000000000006</v>
      </c>
      <c r="O326" s="94"/>
      <c r="P326" s="94"/>
    </row>
    <row r="327" spans="1:17" ht="31.5" x14ac:dyDescent="0.2">
      <c r="A327" s="42"/>
      <c r="B327" s="43" t="s">
        <v>361</v>
      </c>
      <c r="C327" s="44" t="s">
        <v>362</v>
      </c>
      <c r="D327" s="45" t="s">
        <v>26</v>
      </c>
      <c r="E327" s="105"/>
      <c r="F327" s="46">
        <f>F328+F331</f>
        <v>11244.8</v>
      </c>
      <c r="G327" s="46">
        <f>G328+G331</f>
        <v>1039.0999999999999</v>
      </c>
      <c r="H327" s="46">
        <f>H328+H331</f>
        <v>12283.9</v>
      </c>
      <c r="I327" s="47">
        <f>I328+I331</f>
        <v>0</v>
      </c>
      <c r="J327" s="88"/>
      <c r="K327" s="47">
        <f>K328+K331</f>
        <v>0</v>
      </c>
      <c r="L327" s="46">
        <f>L328+L331</f>
        <v>11244.8</v>
      </c>
      <c r="M327" s="46">
        <f>M328+M331</f>
        <v>1039.0999999999999</v>
      </c>
      <c r="N327" s="46">
        <f>N328+N331</f>
        <v>12283.9</v>
      </c>
      <c r="O327" s="94"/>
      <c r="P327" s="94"/>
    </row>
    <row r="328" spans="1:17" ht="31.5" x14ac:dyDescent="0.2">
      <c r="A328" s="42"/>
      <c r="B328" s="43" t="s">
        <v>39</v>
      </c>
      <c r="C328" s="44" t="s">
        <v>363</v>
      </c>
      <c r="D328" s="45" t="s">
        <v>26</v>
      </c>
      <c r="E328" s="105"/>
      <c r="F328" s="46">
        <f>F329+F330</f>
        <v>9205.9</v>
      </c>
      <c r="G328" s="46">
        <f>G329+G330</f>
        <v>1039.0999999999999</v>
      </c>
      <c r="H328" s="46">
        <f>H329+H330</f>
        <v>10245</v>
      </c>
      <c r="I328" s="47">
        <f>I329+I330</f>
        <v>0</v>
      </c>
      <c r="J328" s="88"/>
      <c r="K328" s="47">
        <f>K329+K330</f>
        <v>0</v>
      </c>
      <c r="L328" s="46">
        <f>L329+L330</f>
        <v>9205.9</v>
      </c>
      <c r="M328" s="46">
        <f>M329+M330</f>
        <v>1039.0999999999999</v>
      </c>
      <c r="N328" s="46">
        <f>N329+N330</f>
        <v>10245</v>
      </c>
      <c r="O328" s="94"/>
      <c r="P328" s="94"/>
    </row>
    <row r="329" spans="1:17" ht="64.150000000000006" customHeight="1" x14ac:dyDescent="0.2">
      <c r="A329" s="42"/>
      <c r="B329" s="43" t="s">
        <v>31</v>
      </c>
      <c r="C329" s="44" t="s">
        <v>363</v>
      </c>
      <c r="D329" s="45" t="s">
        <v>32</v>
      </c>
      <c r="E329" s="105"/>
      <c r="F329" s="46">
        <v>8505.9</v>
      </c>
      <c r="G329" s="46">
        <v>1039.0999999999999</v>
      </c>
      <c r="H329" s="46">
        <f>8505.9+G329</f>
        <v>9545</v>
      </c>
      <c r="I329" s="47">
        <v>0</v>
      </c>
      <c r="J329" s="88"/>
      <c r="K329" s="47">
        <v>0</v>
      </c>
      <c r="L329" s="46">
        <v>8505.9</v>
      </c>
      <c r="M329" s="46">
        <f>SUM(G329)</f>
        <v>1039.0999999999999</v>
      </c>
      <c r="N329" s="46">
        <f>8505.9+M329</f>
        <v>9545</v>
      </c>
      <c r="O329" s="94"/>
      <c r="P329" s="94"/>
    </row>
    <row r="330" spans="1:17" ht="31.5" x14ac:dyDescent="0.2">
      <c r="A330" s="42"/>
      <c r="B330" s="43" t="s">
        <v>35</v>
      </c>
      <c r="C330" s="44" t="s">
        <v>363</v>
      </c>
      <c r="D330" s="45" t="s">
        <v>36</v>
      </c>
      <c r="E330" s="105"/>
      <c r="F330" s="46">
        <v>700</v>
      </c>
      <c r="G330" s="46"/>
      <c r="H330" s="46">
        <v>700</v>
      </c>
      <c r="I330" s="47">
        <v>0</v>
      </c>
      <c r="J330" s="88"/>
      <c r="K330" s="47">
        <v>0</v>
      </c>
      <c r="L330" s="46">
        <v>700</v>
      </c>
      <c r="M330" s="46"/>
      <c r="N330" s="46">
        <v>700</v>
      </c>
      <c r="O330" s="94"/>
      <c r="P330" s="94"/>
    </row>
    <row r="331" spans="1:17" ht="31.5" x14ac:dyDescent="0.2">
      <c r="A331" s="42"/>
      <c r="B331" s="43" t="s">
        <v>364</v>
      </c>
      <c r="C331" s="44" t="s">
        <v>365</v>
      </c>
      <c r="D331" s="45" t="s">
        <v>26</v>
      </c>
      <c r="E331" s="105"/>
      <c r="F331" s="46">
        <f>F332+F333</f>
        <v>2038.9</v>
      </c>
      <c r="G331" s="46">
        <f>SUM(G332)+G333</f>
        <v>0</v>
      </c>
      <c r="H331" s="46">
        <f>H332+H333</f>
        <v>2038.9</v>
      </c>
      <c r="I331" s="47">
        <f>I332+I333</f>
        <v>0</v>
      </c>
      <c r="J331" s="88"/>
      <c r="K331" s="47">
        <f>K332+K333</f>
        <v>0</v>
      </c>
      <c r="L331" s="46">
        <f>SUM(F331)</f>
        <v>2038.9</v>
      </c>
      <c r="M331" s="46">
        <f>SUM(M332)+M333</f>
        <v>0</v>
      </c>
      <c r="N331" s="46">
        <f>SUM(H331)</f>
        <v>2038.9</v>
      </c>
      <c r="O331" s="94"/>
      <c r="P331" s="94"/>
    </row>
    <row r="332" spans="1:17" ht="31.5" x14ac:dyDescent="0.2">
      <c r="A332" s="42"/>
      <c r="B332" s="43" t="s">
        <v>35</v>
      </c>
      <c r="C332" s="44" t="s">
        <v>365</v>
      </c>
      <c r="D332" s="45" t="s">
        <v>36</v>
      </c>
      <c r="E332" s="105"/>
      <c r="F332" s="46">
        <v>1203</v>
      </c>
      <c r="G332" s="46"/>
      <c r="H332" s="46">
        <f>1203+G332</f>
        <v>1203</v>
      </c>
      <c r="I332" s="47">
        <v>0</v>
      </c>
      <c r="J332" s="88"/>
      <c r="K332" s="47">
        <v>0</v>
      </c>
      <c r="L332" s="46">
        <v>1203</v>
      </c>
      <c r="M332" s="46">
        <f>SUM(G332)</f>
        <v>0</v>
      </c>
      <c r="N332" s="46">
        <f>1203+M332</f>
        <v>1203</v>
      </c>
      <c r="O332" s="94"/>
      <c r="P332" s="94"/>
    </row>
    <row r="333" spans="1:17" ht="15.75" x14ac:dyDescent="0.2">
      <c r="A333" s="42"/>
      <c r="B333" s="43" t="s">
        <v>41</v>
      </c>
      <c r="C333" s="44" t="s">
        <v>365</v>
      </c>
      <c r="D333" s="45" t="s">
        <v>42</v>
      </c>
      <c r="E333" s="105"/>
      <c r="F333" s="46">
        <v>835.9</v>
      </c>
      <c r="G333" s="46"/>
      <c r="H333" s="46">
        <v>835.9</v>
      </c>
      <c r="I333" s="47">
        <v>0</v>
      </c>
      <c r="J333" s="88"/>
      <c r="K333" s="47">
        <v>0</v>
      </c>
      <c r="L333" s="46">
        <v>835.9</v>
      </c>
      <c r="M333" s="46">
        <f>SUM(G333)</f>
        <v>0</v>
      </c>
      <c r="N333" s="46">
        <v>835.9</v>
      </c>
      <c r="O333" s="94"/>
      <c r="P333" s="94"/>
    </row>
    <row r="334" spans="1:17" ht="15.75" x14ac:dyDescent="0.2">
      <c r="A334" s="49"/>
      <c r="B334" s="50" t="s">
        <v>366</v>
      </c>
      <c r="C334" s="51" t="s">
        <v>367</v>
      </c>
      <c r="D334" s="52" t="s">
        <v>26</v>
      </c>
      <c r="E334" s="106"/>
      <c r="F334" s="53">
        <f t="shared" ref="F334:N334" si="68">F335</f>
        <v>210.5</v>
      </c>
      <c r="G334" s="53">
        <f t="shared" si="68"/>
        <v>0</v>
      </c>
      <c r="H334" s="53">
        <f t="shared" si="68"/>
        <v>210.5</v>
      </c>
      <c r="I334" s="54">
        <f t="shared" si="68"/>
        <v>0</v>
      </c>
      <c r="J334" s="53">
        <f t="shared" si="68"/>
        <v>0</v>
      </c>
      <c r="K334" s="54">
        <f t="shared" si="68"/>
        <v>0</v>
      </c>
      <c r="L334" s="53">
        <f t="shared" si="68"/>
        <v>210.5</v>
      </c>
      <c r="M334" s="53">
        <f t="shared" si="68"/>
        <v>0</v>
      </c>
      <c r="N334" s="53">
        <f t="shared" si="68"/>
        <v>210.5</v>
      </c>
      <c r="O334" s="95"/>
      <c r="P334" s="95"/>
    </row>
    <row r="335" spans="1:17" ht="39" customHeight="1" x14ac:dyDescent="0.2">
      <c r="A335" s="42"/>
      <c r="B335" s="43" t="s">
        <v>368</v>
      </c>
      <c r="C335" s="44" t="s">
        <v>369</v>
      </c>
      <c r="D335" s="45" t="s">
        <v>26</v>
      </c>
      <c r="E335" s="105"/>
      <c r="F335" s="46">
        <f>F336+F338</f>
        <v>210.5</v>
      </c>
      <c r="G335" s="46">
        <f>G336+G338</f>
        <v>0</v>
      </c>
      <c r="H335" s="46">
        <f>H336+H338</f>
        <v>210.5</v>
      </c>
      <c r="I335" s="47">
        <f>I336+I338</f>
        <v>0</v>
      </c>
      <c r="J335" s="88"/>
      <c r="K335" s="47">
        <f>K336+K338</f>
        <v>0</v>
      </c>
      <c r="L335" s="46">
        <f>L336+L338</f>
        <v>210.5</v>
      </c>
      <c r="M335" s="46">
        <f>M336+M338</f>
        <v>0</v>
      </c>
      <c r="N335" s="46">
        <f>N336+N338</f>
        <v>210.5</v>
      </c>
      <c r="O335" s="94"/>
      <c r="P335" s="94"/>
    </row>
    <row r="336" spans="1:17" ht="15.75" x14ac:dyDescent="0.2">
      <c r="A336" s="42"/>
      <c r="B336" s="43" t="s">
        <v>370</v>
      </c>
      <c r="C336" s="44" t="s">
        <v>371</v>
      </c>
      <c r="D336" s="45" t="s">
        <v>26</v>
      </c>
      <c r="E336" s="105"/>
      <c r="F336" s="46">
        <f>F337</f>
        <v>10.5</v>
      </c>
      <c r="G336" s="46">
        <f>G337</f>
        <v>0</v>
      </c>
      <c r="H336" s="46">
        <f>H337</f>
        <v>10.5</v>
      </c>
      <c r="I336" s="47">
        <f>I337</f>
        <v>0</v>
      </c>
      <c r="J336" s="88"/>
      <c r="K336" s="47">
        <f>K337</f>
        <v>0</v>
      </c>
      <c r="L336" s="46">
        <f>L337</f>
        <v>10.5</v>
      </c>
      <c r="M336" s="46">
        <f>M337</f>
        <v>0</v>
      </c>
      <c r="N336" s="46">
        <f>N337</f>
        <v>10.5</v>
      </c>
      <c r="O336" s="94"/>
      <c r="P336" s="94"/>
    </row>
    <row r="337" spans="1:16" ht="22.15" customHeight="1" x14ac:dyDescent="0.2">
      <c r="A337" s="42"/>
      <c r="B337" s="43" t="s">
        <v>372</v>
      </c>
      <c r="C337" s="44" t="s">
        <v>371</v>
      </c>
      <c r="D337" s="45" t="s">
        <v>373</v>
      </c>
      <c r="E337" s="105"/>
      <c r="F337" s="56">
        <v>10.5</v>
      </c>
      <c r="G337" s="56"/>
      <c r="H337" s="56">
        <v>10.5</v>
      </c>
      <c r="I337" s="47">
        <v>0</v>
      </c>
      <c r="J337" s="111"/>
      <c r="K337" s="47">
        <v>0</v>
      </c>
      <c r="L337" s="56">
        <f>SUM(F337)</f>
        <v>10.5</v>
      </c>
      <c r="M337" s="56">
        <f>SUM(G337)</f>
        <v>0</v>
      </c>
      <c r="N337" s="56">
        <f>SUM(H337)</f>
        <v>10.5</v>
      </c>
      <c r="O337" s="94"/>
      <c r="P337" s="94"/>
    </row>
    <row r="338" spans="1:16" ht="31.5" x14ac:dyDescent="0.2">
      <c r="A338" s="42"/>
      <c r="B338" s="43" t="s">
        <v>374</v>
      </c>
      <c r="C338" s="44" t="s">
        <v>375</v>
      </c>
      <c r="D338" s="45" t="s">
        <v>26</v>
      </c>
      <c r="E338" s="105"/>
      <c r="F338" s="46">
        <f>F339</f>
        <v>200</v>
      </c>
      <c r="G338" s="46">
        <f>G339</f>
        <v>0</v>
      </c>
      <c r="H338" s="46">
        <f>H339</f>
        <v>200</v>
      </c>
      <c r="I338" s="47">
        <f>I339</f>
        <v>0</v>
      </c>
      <c r="J338" s="88"/>
      <c r="K338" s="47">
        <f>K339</f>
        <v>0</v>
      </c>
      <c r="L338" s="46">
        <f>L339</f>
        <v>200</v>
      </c>
      <c r="M338" s="46">
        <f>M339</f>
        <v>0</v>
      </c>
      <c r="N338" s="46">
        <f>N339</f>
        <v>200</v>
      </c>
      <c r="O338" s="94"/>
      <c r="P338" s="94"/>
    </row>
    <row r="339" spans="1:16" ht="31.5" x14ac:dyDescent="0.2">
      <c r="A339" s="42"/>
      <c r="B339" s="43" t="s">
        <v>35</v>
      </c>
      <c r="C339" s="44" t="s">
        <v>375</v>
      </c>
      <c r="D339" s="45" t="s">
        <v>36</v>
      </c>
      <c r="E339" s="105"/>
      <c r="F339" s="46">
        <v>200</v>
      </c>
      <c r="G339" s="46"/>
      <c r="H339" s="46">
        <v>200</v>
      </c>
      <c r="I339" s="47">
        <v>0</v>
      </c>
      <c r="J339" s="88"/>
      <c r="K339" s="47">
        <v>0</v>
      </c>
      <c r="L339" s="46">
        <v>200</v>
      </c>
      <c r="M339" s="46"/>
      <c r="N339" s="46">
        <v>200</v>
      </c>
      <c r="O339" s="94"/>
      <c r="P339" s="94"/>
    </row>
    <row r="340" spans="1:16" ht="31.5" x14ac:dyDescent="0.2">
      <c r="A340" s="49"/>
      <c r="B340" s="50" t="s">
        <v>376</v>
      </c>
      <c r="C340" s="51" t="s">
        <v>377</v>
      </c>
      <c r="D340" s="52" t="s">
        <v>26</v>
      </c>
      <c r="E340" s="106"/>
      <c r="F340" s="53">
        <f t="shared" ref="F340:N340" si="69">F341+F345+F348</f>
        <v>14762.900000000001</v>
      </c>
      <c r="G340" s="53">
        <f t="shared" si="69"/>
        <v>1725.2000000000003</v>
      </c>
      <c r="H340" s="53">
        <f t="shared" si="69"/>
        <v>16488.100000000002</v>
      </c>
      <c r="I340" s="54">
        <f t="shared" si="69"/>
        <v>0</v>
      </c>
      <c r="J340" s="53">
        <f t="shared" si="69"/>
        <v>0</v>
      </c>
      <c r="K340" s="54">
        <f t="shared" si="69"/>
        <v>0</v>
      </c>
      <c r="L340" s="53">
        <f t="shared" si="69"/>
        <v>14762.900000000001</v>
      </c>
      <c r="M340" s="53">
        <f t="shared" si="69"/>
        <v>1725.2000000000003</v>
      </c>
      <c r="N340" s="53">
        <f t="shared" si="69"/>
        <v>16488.100000000002</v>
      </c>
      <c r="O340" s="95"/>
      <c r="P340" s="95"/>
    </row>
    <row r="341" spans="1:16" ht="37.9" customHeight="1" x14ac:dyDescent="0.2">
      <c r="A341" s="42"/>
      <c r="B341" s="43" t="s">
        <v>378</v>
      </c>
      <c r="C341" s="44" t="s">
        <v>379</v>
      </c>
      <c r="D341" s="45" t="s">
        <v>26</v>
      </c>
      <c r="E341" s="105"/>
      <c r="F341" s="46">
        <f>F342</f>
        <v>3503.8</v>
      </c>
      <c r="G341" s="46">
        <f>G342</f>
        <v>280.40000000000003</v>
      </c>
      <c r="H341" s="46">
        <f>H342</f>
        <v>3784.2000000000003</v>
      </c>
      <c r="I341" s="47">
        <f>I342</f>
        <v>0</v>
      </c>
      <c r="J341" s="88"/>
      <c r="K341" s="47">
        <f>K342</f>
        <v>0</v>
      </c>
      <c r="L341" s="46">
        <f>L342</f>
        <v>3503.8</v>
      </c>
      <c r="M341" s="46">
        <f>M342</f>
        <v>280.40000000000003</v>
      </c>
      <c r="N341" s="46">
        <f>N342</f>
        <v>3784.2000000000003</v>
      </c>
      <c r="O341" s="94"/>
      <c r="P341" s="94"/>
    </row>
    <row r="342" spans="1:16" ht="31.5" x14ac:dyDescent="0.2">
      <c r="A342" s="42"/>
      <c r="B342" s="43" t="s">
        <v>93</v>
      </c>
      <c r="C342" s="44" t="s">
        <v>380</v>
      </c>
      <c r="D342" s="45" t="s">
        <v>26</v>
      </c>
      <c r="E342" s="105"/>
      <c r="F342" s="46">
        <f>F343+F344</f>
        <v>3503.8</v>
      </c>
      <c r="G342" s="46">
        <f>G343+G344</f>
        <v>280.40000000000003</v>
      </c>
      <c r="H342" s="46">
        <f>H343+H344</f>
        <v>3784.2000000000003</v>
      </c>
      <c r="I342" s="47">
        <f>I343+I344</f>
        <v>0</v>
      </c>
      <c r="J342" s="88"/>
      <c r="K342" s="47">
        <f>K343+K344</f>
        <v>0</v>
      </c>
      <c r="L342" s="46">
        <f>L343+L344</f>
        <v>3503.8</v>
      </c>
      <c r="M342" s="46">
        <f>M343+M344</f>
        <v>280.40000000000003</v>
      </c>
      <c r="N342" s="46">
        <f>N343+N344</f>
        <v>3784.2000000000003</v>
      </c>
      <c r="O342" s="94"/>
      <c r="P342" s="94"/>
    </row>
    <row r="343" spans="1:16" ht="64.900000000000006" customHeight="1" x14ac:dyDescent="0.2">
      <c r="A343" s="42"/>
      <c r="B343" s="43" t="s">
        <v>31</v>
      </c>
      <c r="C343" s="44" t="s">
        <v>380</v>
      </c>
      <c r="D343" s="45" t="s">
        <v>32</v>
      </c>
      <c r="E343" s="105"/>
      <c r="F343" s="46">
        <v>3493.8</v>
      </c>
      <c r="G343" s="46">
        <v>272.8</v>
      </c>
      <c r="H343" s="46">
        <f>3493.8+G343</f>
        <v>3766.6000000000004</v>
      </c>
      <c r="I343" s="47">
        <v>0</v>
      </c>
      <c r="J343" s="88"/>
      <c r="K343" s="47">
        <v>0</v>
      </c>
      <c r="L343" s="46">
        <f>SUM(F343)</f>
        <v>3493.8</v>
      </c>
      <c r="M343" s="46">
        <f>SUM(G343)</f>
        <v>272.8</v>
      </c>
      <c r="N343" s="46">
        <f>SUM(H343)</f>
        <v>3766.6000000000004</v>
      </c>
      <c r="O343" s="94"/>
      <c r="P343" s="94"/>
    </row>
    <row r="344" spans="1:16" ht="31.5" x14ac:dyDescent="0.2">
      <c r="A344" s="42"/>
      <c r="B344" s="43" t="s">
        <v>35</v>
      </c>
      <c r="C344" s="44" t="s">
        <v>380</v>
      </c>
      <c r="D344" s="45" t="s">
        <v>36</v>
      </c>
      <c r="E344" s="105"/>
      <c r="F344" s="46">
        <v>10</v>
      </c>
      <c r="G344" s="159">
        <v>7.6</v>
      </c>
      <c r="H344" s="46">
        <f>10+G344</f>
        <v>17.600000000000001</v>
      </c>
      <c r="I344" s="47">
        <v>0</v>
      </c>
      <c r="J344" s="88"/>
      <c r="K344" s="47">
        <v>0</v>
      </c>
      <c r="L344" s="46">
        <v>10</v>
      </c>
      <c r="M344" s="46">
        <f>SUM(G344)</f>
        <v>7.6</v>
      </c>
      <c r="N344" s="46">
        <f>10+M344</f>
        <v>17.600000000000001</v>
      </c>
      <c r="O344" s="94"/>
      <c r="P344" s="94"/>
    </row>
    <row r="345" spans="1:16" ht="47.25" x14ac:dyDescent="0.2">
      <c r="A345" s="42"/>
      <c r="B345" s="43" t="s">
        <v>381</v>
      </c>
      <c r="C345" s="44" t="s">
        <v>382</v>
      </c>
      <c r="D345" s="45" t="s">
        <v>26</v>
      </c>
      <c r="E345" s="105"/>
      <c r="F345" s="46">
        <f t="shared" ref="F345:N346" si="70">F346</f>
        <v>10344.1</v>
      </c>
      <c r="G345" s="46">
        <f t="shared" si="70"/>
        <v>1292.4000000000001</v>
      </c>
      <c r="H345" s="46">
        <f t="shared" si="70"/>
        <v>11636.5</v>
      </c>
      <c r="I345" s="47">
        <f t="shared" si="70"/>
        <v>0</v>
      </c>
      <c r="J345" s="88"/>
      <c r="K345" s="47">
        <f t="shared" si="70"/>
        <v>0</v>
      </c>
      <c r="L345" s="46">
        <f t="shared" si="70"/>
        <v>10344.1</v>
      </c>
      <c r="M345" s="46">
        <f t="shared" si="70"/>
        <v>1292.4000000000001</v>
      </c>
      <c r="N345" s="46">
        <f t="shared" si="70"/>
        <v>11636.5</v>
      </c>
      <c r="O345" s="94"/>
      <c r="P345" s="94"/>
    </row>
    <row r="346" spans="1:16" ht="31.5" x14ac:dyDescent="0.2">
      <c r="A346" s="42"/>
      <c r="B346" s="43" t="s">
        <v>39</v>
      </c>
      <c r="C346" s="44" t="s">
        <v>383</v>
      </c>
      <c r="D346" s="45" t="s">
        <v>26</v>
      </c>
      <c r="E346" s="105"/>
      <c r="F346" s="46">
        <f t="shared" si="70"/>
        <v>10344.1</v>
      </c>
      <c r="G346" s="46">
        <f t="shared" si="70"/>
        <v>1292.4000000000001</v>
      </c>
      <c r="H346" s="46">
        <f t="shared" si="70"/>
        <v>11636.5</v>
      </c>
      <c r="I346" s="47">
        <f t="shared" si="70"/>
        <v>0</v>
      </c>
      <c r="J346" s="88"/>
      <c r="K346" s="47">
        <f t="shared" si="70"/>
        <v>0</v>
      </c>
      <c r="L346" s="46">
        <f t="shared" si="70"/>
        <v>10344.1</v>
      </c>
      <c r="M346" s="46">
        <f t="shared" si="70"/>
        <v>1292.4000000000001</v>
      </c>
      <c r="N346" s="46">
        <f t="shared" si="70"/>
        <v>11636.5</v>
      </c>
      <c r="O346" s="94"/>
      <c r="P346" s="94"/>
    </row>
    <row r="347" spans="1:16" ht="31.5" x14ac:dyDescent="0.2">
      <c r="A347" s="42"/>
      <c r="B347" s="43" t="s">
        <v>74</v>
      </c>
      <c r="C347" s="44" t="s">
        <v>383</v>
      </c>
      <c r="D347" s="45" t="s">
        <v>75</v>
      </c>
      <c r="E347" s="105"/>
      <c r="F347" s="46">
        <v>10344.1</v>
      </c>
      <c r="G347" s="46">
        <v>1292.4000000000001</v>
      </c>
      <c r="H347" s="46">
        <f>10344.1+G347</f>
        <v>11636.5</v>
      </c>
      <c r="I347" s="47">
        <v>0</v>
      </c>
      <c r="J347" s="88"/>
      <c r="K347" s="47">
        <v>0</v>
      </c>
      <c r="L347" s="46">
        <v>10344.1</v>
      </c>
      <c r="M347" s="46">
        <f>SUM(G347)</f>
        <v>1292.4000000000001</v>
      </c>
      <c r="N347" s="46">
        <f>10344.1+M347</f>
        <v>11636.5</v>
      </c>
      <c r="O347" s="94"/>
      <c r="P347" s="94"/>
    </row>
    <row r="348" spans="1:16" ht="36.6" customHeight="1" x14ac:dyDescent="0.2">
      <c r="A348" s="42"/>
      <c r="B348" s="43" t="s">
        <v>384</v>
      </c>
      <c r="C348" s="44" t="s">
        <v>385</v>
      </c>
      <c r="D348" s="45" t="s">
        <v>26</v>
      </c>
      <c r="E348" s="105"/>
      <c r="F348" s="46">
        <f>F349</f>
        <v>915</v>
      </c>
      <c r="G348" s="46">
        <f>G349</f>
        <v>152.4</v>
      </c>
      <c r="H348" s="46">
        <f>H349</f>
        <v>1067.4000000000001</v>
      </c>
      <c r="I348" s="47">
        <f>I349</f>
        <v>0</v>
      </c>
      <c r="J348" s="88"/>
      <c r="K348" s="47">
        <f>K349</f>
        <v>0</v>
      </c>
      <c r="L348" s="46">
        <f>L349</f>
        <v>915</v>
      </c>
      <c r="M348" s="46">
        <f>M349</f>
        <v>152.4</v>
      </c>
      <c r="N348" s="46">
        <f>N349</f>
        <v>1067.4000000000001</v>
      </c>
      <c r="O348" s="94"/>
      <c r="P348" s="94"/>
    </row>
    <row r="349" spans="1:16" ht="36" customHeight="1" x14ac:dyDescent="0.2">
      <c r="A349" s="42"/>
      <c r="B349" s="43" t="s">
        <v>386</v>
      </c>
      <c r="C349" s="44" t="s">
        <v>387</v>
      </c>
      <c r="D349" s="45" t="s">
        <v>26</v>
      </c>
      <c r="E349" s="105"/>
      <c r="F349" s="46">
        <f>F350+F351</f>
        <v>915</v>
      </c>
      <c r="G349" s="46">
        <f>G350+G351</f>
        <v>152.4</v>
      </c>
      <c r="H349" s="46">
        <f>H350+H351</f>
        <v>1067.4000000000001</v>
      </c>
      <c r="I349" s="47">
        <f>I350+I351</f>
        <v>0</v>
      </c>
      <c r="J349" s="88"/>
      <c r="K349" s="47">
        <f>K350+K351</f>
        <v>0</v>
      </c>
      <c r="L349" s="46">
        <f>L350+L351</f>
        <v>915</v>
      </c>
      <c r="M349" s="46">
        <f>M350+M351</f>
        <v>152.4</v>
      </c>
      <c r="N349" s="46">
        <f>N350+N351</f>
        <v>1067.4000000000001</v>
      </c>
      <c r="O349" s="94"/>
      <c r="P349" s="94"/>
    </row>
    <row r="350" spans="1:16" ht="31.5" x14ac:dyDescent="0.2">
      <c r="A350" s="42"/>
      <c r="B350" s="43" t="s">
        <v>35</v>
      </c>
      <c r="C350" s="44" t="s">
        <v>387</v>
      </c>
      <c r="D350" s="45" t="s">
        <v>36</v>
      </c>
      <c r="E350" s="105"/>
      <c r="F350" s="46">
        <v>900</v>
      </c>
      <c r="G350" s="46">
        <f>100+60+7.4</f>
        <v>167.4</v>
      </c>
      <c r="H350" s="46">
        <f>900+G350</f>
        <v>1067.4000000000001</v>
      </c>
      <c r="I350" s="47">
        <v>0</v>
      </c>
      <c r="J350" s="88"/>
      <c r="K350" s="47">
        <v>0</v>
      </c>
      <c r="L350" s="46">
        <v>900</v>
      </c>
      <c r="M350" s="46">
        <f>SUM(G350)</f>
        <v>167.4</v>
      </c>
      <c r="N350" s="46">
        <f>900+M350</f>
        <v>1067.4000000000001</v>
      </c>
      <c r="O350" s="94"/>
      <c r="P350" s="94"/>
    </row>
    <row r="351" spans="1:16" ht="15.75" x14ac:dyDescent="0.2">
      <c r="A351" s="42"/>
      <c r="B351" s="43" t="s">
        <v>41</v>
      </c>
      <c r="C351" s="44" t="s">
        <v>387</v>
      </c>
      <c r="D351" s="45" t="s">
        <v>42</v>
      </c>
      <c r="E351" s="105"/>
      <c r="F351" s="46">
        <v>15</v>
      </c>
      <c r="G351" s="46">
        <v>-15</v>
      </c>
      <c r="H351" s="46">
        <f>15+G351</f>
        <v>0</v>
      </c>
      <c r="I351" s="47">
        <v>0</v>
      </c>
      <c r="J351" s="88"/>
      <c r="K351" s="47">
        <v>0</v>
      </c>
      <c r="L351" s="46">
        <v>15</v>
      </c>
      <c r="M351" s="46">
        <f>SUM(G351)</f>
        <v>-15</v>
      </c>
      <c r="N351" s="46">
        <f>15+M351</f>
        <v>0</v>
      </c>
      <c r="O351" s="94"/>
      <c r="P351" s="94"/>
    </row>
    <row r="352" spans="1:16" ht="15.75" x14ac:dyDescent="0.2">
      <c r="A352" s="19" t="s">
        <v>388</v>
      </c>
      <c r="B352" s="20" t="s">
        <v>389</v>
      </c>
      <c r="C352" s="21" t="s">
        <v>390</v>
      </c>
      <c r="D352" s="22" t="s">
        <v>26</v>
      </c>
      <c r="E352" s="104"/>
      <c r="F352" s="23">
        <f t="shared" ref="F352:N354" si="71">F353</f>
        <v>1183.5999999999999</v>
      </c>
      <c r="G352" s="23">
        <f t="shared" si="71"/>
        <v>200</v>
      </c>
      <c r="H352" s="23">
        <f t="shared" si="71"/>
        <v>1383.6</v>
      </c>
      <c r="I352" s="24">
        <f t="shared" si="71"/>
        <v>0</v>
      </c>
      <c r="J352" s="23">
        <f>J353</f>
        <v>0</v>
      </c>
      <c r="K352" s="24">
        <f t="shared" si="71"/>
        <v>0</v>
      </c>
      <c r="L352" s="23">
        <f t="shared" si="71"/>
        <v>1183.5999999999999</v>
      </c>
      <c r="M352" s="23">
        <f t="shared" si="71"/>
        <v>200</v>
      </c>
      <c r="N352" s="23">
        <f t="shared" si="71"/>
        <v>1383.6</v>
      </c>
      <c r="O352" s="93"/>
      <c r="P352" s="93"/>
    </row>
    <row r="353" spans="1:16" ht="51.6" customHeight="1" x14ac:dyDescent="0.2">
      <c r="A353" s="42"/>
      <c r="B353" s="43" t="s">
        <v>391</v>
      </c>
      <c r="C353" s="44" t="s">
        <v>392</v>
      </c>
      <c r="D353" s="45" t="s">
        <v>26</v>
      </c>
      <c r="E353" s="105"/>
      <c r="F353" s="46">
        <f t="shared" si="71"/>
        <v>1183.5999999999999</v>
      </c>
      <c r="G353" s="46">
        <f t="shared" si="71"/>
        <v>200</v>
      </c>
      <c r="H353" s="46">
        <f t="shared" si="71"/>
        <v>1383.6</v>
      </c>
      <c r="I353" s="47">
        <f t="shared" si="71"/>
        <v>0</v>
      </c>
      <c r="J353" s="88"/>
      <c r="K353" s="47">
        <f t="shared" si="71"/>
        <v>0</v>
      </c>
      <c r="L353" s="46">
        <f t="shared" si="71"/>
        <v>1183.5999999999999</v>
      </c>
      <c r="M353" s="46">
        <f t="shared" si="71"/>
        <v>200</v>
      </c>
      <c r="N353" s="46">
        <f t="shared" si="71"/>
        <v>1383.6</v>
      </c>
      <c r="O353" s="94"/>
      <c r="P353" s="94"/>
    </row>
    <row r="354" spans="1:16" ht="31.5" x14ac:dyDescent="0.2">
      <c r="A354" s="42"/>
      <c r="B354" s="43" t="s">
        <v>393</v>
      </c>
      <c r="C354" s="44" t="s">
        <v>394</v>
      </c>
      <c r="D354" s="45" t="s">
        <v>26</v>
      </c>
      <c r="E354" s="105"/>
      <c r="F354" s="46">
        <f t="shared" si="71"/>
        <v>1183.5999999999999</v>
      </c>
      <c r="G354" s="46">
        <f t="shared" si="71"/>
        <v>200</v>
      </c>
      <c r="H354" s="46">
        <f t="shared" si="71"/>
        <v>1383.6</v>
      </c>
      <c r="I354" s="47">
        <f t="shared" si="71"/>
        <v>0</v>
      </c>
      <c r="J354" s="88"/>
      <c r="K354" s="47">
        <f t="shared" si="71"/>
        <v>0</v>
      </c>
      <c r="L354" s="46">
        <f t="shared" si="71"/>
        <v>1183.5999999999999</v>
      </c>
      <c r="M354" s="46">
        <f t="shared" si="71"/>
        <v>200</v>
      </c>
      <c r="N354" s="46">
        <f t="shared" si="71"/>
        <v>1383.6</v>
      </c>
      <c r="O354" s="94"/>
      <c r="P354" s="94"/>
    </row>
    <row r="355" spans="1:16" ht="31.5" x14ac:dyDescent="0.2">
      <c r="A355" s="42"/>
      <c r="B355" s="43" t="s">
        <v>35</v>
      </c>
      <c r="C355" s="44" t="s">
        <v>394</v>
      </c>
      <c r="D355" s="45" t="s">
        <v>36</v>
      </c>
      <c r="E355" s="105"/>
      <c r="F355" s="46">
        <v>1183.5999999999999</v>
      </c>
      <c r="G355" s="46">
        <v>200</v>
      </c>
      <c r="H355" s="46">
        <f>1183.6+G355</f>
        <v>1383.6</v>
      </c>
      <c r="I355" s="47">
        <v>0</v>
      </c>
      <c r="J355" s="88"/>
      <c r="K355" s="47">
        <v>0</v>
      </c>
      <c r="L355" s="46">
        <f>SUM(F355)</f>
        <v>1183.5999999999999</v>
      </c>
      <c r="M355" s="46">
        <f>SUM(G355)</f>
        <v>200</v>
      </c>
      <c r="N355" s="46">
        <f>SUM(H355)</f>
        <v>1383.6</v>
      </c>
      <c r="O355" s="94"/>
      <c r="P355" s="94"/>
    </row>
    <row r="356" spans="1:16" ht="49.15" customHeight="1" x14ac:dyDescent="0.2">
      <c r="A356" s="19" t="s">
        <v>395</v>
      </c>
      <c r="B356" s="20" t="s">
        <v>396</v>
      </c>
      <c r="C356" s="21" t="s">
        <v>397</v>
      </c>
      <c r="D356" s="22" t="s">
        <v>26</v>
      </c>
      <c r="E356" s="104"/>
      <c r="F356" s="23">
        <f t="shared" ref="F356:N358" si="72">F357</f>
        <v>709.09999999999991</v>
      </c>
      <c r="G356" s="23">
        <f t="shared" si="72"/>
        <v>0</v>
      </c>
      <c r="H356" s="23">
        <f t="shared" si="72"/>
        <v>709.09999999999991</v>
      </c>
      <c r="I356" s="24">
        <f t="shared" si="72"/>
        <v>0</v>
      </c>
      <c r="J356" s="23">
        <f>J357</f>
        <v>0</v>
      </c>
      <c r="K356" s="24">
        <f t="shared" si="72"/>
        <v>0</v>
      </c>
      <c r="L356" s="23">
        <f t="shared" si="72"/>
        <v>709.09999999999991</v>
      </c>
      <c r="M356" s="23">
        <f t="shared" si="72"/>
        <v>0</v>
      </c>
      <c r="N356" s="23">
        <f t="shared" si="72"/>
        <v>709.09999999999991</v>
      </c>
      <c r="O356" s="93"/>
      <c r="P356" s="93"/>
    </row>
    <row r="357" spans="1:16" ht="30.6" customHeight="1" x14ac:dyDescent="0.2">
      <c r="A357" s="42"/>
      <c r="B357" s="43" t="s">
        <v>398</v>
      </c>
      <c r="C357" s="44" t="s">
        <v>399</v>
      </c>
      <c r="D357" s="45" t="s">
        <v>26</v>
      </c>
      <c r="E357" s="105"/>
      <c r="F357" s="46">
        <f>F358+F361</f>
        <v>709.09999999999991</v>
      </c>
      <c r="G357" s="46">
        <f>G358+G361</f>
        <v>0</v>
      </c>
      <c r="H357" s="46">
        <f>H358+H361</f>
        <v>709.09999999999991</v>
      </c>
      <c r="I357" s="47">
        <f t="shared" si="72"/>
        <v>0</v>
      </c>
      <c r="J357" s="88"/>
      <c r="K357" s="47">
        <f t="shared" si="72"/>
        <v>0</v>
      </c>
      <c r="L357" s="46">
        <f>SUM(F357)</f>
        <v>709.09999999999991</v>
      </c>
      <c r="M357" s="46">
        <f>SUM(G357)</f>
        <v>0</v>
      </c>
      <c r="N357" s="46">
        <f>N358+N361</f>
        <v>709.09999999999991</v>
      </c>
      <c r="O357" s="94"/>
      <c r="P357" s="94"/>
    </row>
    <row r="358" spans="1:16" ht="49.15" customHeight="1" x14ac:dyDescent="0.2">
      <c r="A358" s="42"/>
      <c r="B358" s="43" t="s">
        <v>400</v>
      </c>
      <c r="C358" s="44" t="s">
        <v>401</v>
      </c>
      <c r="D358" s="45" t="s">
        <v>26</v>
      </c>
      <c r="E358" s="105"/>
      <c r="F358" s="46">
        <f t="shared" si="72"/>
        <v>309.39999999999998</v>
      </c>
      <c r="G358" s="46">
        <f>G359+G360</f>
        <v>0</v>
      </c>
      <c r="H358" s="46">
        <f t="shared" si="72"/>
        <v>309.39999999999998</v>
      </c>
      <c r="I358" s="47">
        <f t="shared" si="72"/>
        <v>0</v>
      </c>
      <c r="J358" s="88"/>
      <c r="K358" s="47">
        <f t="shared" si="72"/>
        <v>0</v>
      </c>
      <c r="L358" s="46">
        <f t="shared" si="72"/>
        <v>309.39999999999998</v>
      </c>
      <c r="M358" s="46">
        <f t="shared" si="72"/>
        <v>0</v>
      </c>
      <c r="N358" s="46">
        <f t="shared" si="72"/>
        <v>309.39999999999998</v>
      </c>
      <c r="O358" s="94"/>
      <c r="P358" s="94"/>
    </row>
    <row r="359" spans="1:16" ht="31.5" x14ac:dyDescent="0.2">
      <c r="A359" s="57"/>
      <c r="B359" s="58" t="s">
        <v>35</v>
      </c>
      <c r="C359" s="59" t="s">
        <v>401</v>
      </c>
      <c r="D359" s="60" t="s">
        <v>36</v>
      </c>
      <c r="E359" s="108"/>
      <c r="F359" s="61">
        <v>309.39999999999998</v>
      </c>
      <c r="G359" s="61"/>
      <c r="H359" s="61">
        <f>280+29.4</f>
        <v>309.39999999999998</v>
      </c>
      <c r="I359" s="62">
        <v>0</v>
      </c>
      <c r="J359" s="115"/>
      <c r="K359" s="62">
        <v>0</v>
      </c>
      <c r="L359" s="61">
        <f t="shared" ref="L359:N362" si="73">SUM(F359)</f>
        <v>309.39999999999998</v>
      </c>
      <c r="M359" s="61">
        <f t="shared" si="73"/>
        <v>0</v>
      </c>
      <c r="N359" s="61">
        <f t="shared" si="73"/>
        <v>309.39999999999998</v>
      </c>
      <c r="O359" s="94"/>
      <c r="P359" s="94"/>
    </row>
    <row r="360" spans="1:16" ht="15.75" x14ac:dyDescent="0.2">
      <c r="A360" s="133"/>
      <c r="B360" s="43" t="s">
        <v>54</v>
      </c>
      <c r="C360" s="59" t="s">
        <v>401</v>
      </c>
      <c r="D360" s="146" t="s">
        <v>55</v>
      </c>
      <c r="E360" s="146"/>
      <c r="F360" s="134">
        <v>200</v>
      </c>
      <c r="G360" s="134"/>
      <c r="H360" s="134">
        <f>SUM(F360)</f>
        <v>200</v>
      </c>
      <c r="I360" s="135"/>
      <c r="J360" s="135"/>
      <c r="K360" s="135"/>
      <c r="L360" s="134">
        <f>SUM(F360)</f>
        <v>200</v>
      </c>
      <c r="M360" s="134">
        <f>SUM(G360)</f>
        <v>0</v>
      </c>
      <c r="N360" s="134">
        <f>SUM(H360)</f>
        <v>200</v>
      </c>
      <c r="O360" s="94"/>
      <c r="P360" s="94"/>
    </row>
    <row r="361" spans="1:16" ht="31.5" x14ac:dyDescent="0.2">
      <c r="A361" s="133"/>
      <c r="B361" s="122" t="s">
        <v>402</v>
      </c>
      <c r="C361" s="44" t="s">
        <v>403</v>
      </c>
      <c r="D361" s="124"/>
      <c r="E361" s="124"/>
      <c r="F361" s="134">
        <v>399.7</v>
      </c>
      <c r="G361" s="134"/>
      <c r="H361" s="134">
        <f>SUM(F361)</f>
        <v>399.7</v>
      </c>
      <c r="I361" s="135"/>
      <c r="J361" s="135"/>
      <c r="K361" s="135"/>
      <c r="L361" s="134">
        <f t="shared" si="73"/>
        <v>399.7</v>
      </c>
      <c r="M361" s="134">
        <f t="shared" si="73"/>
        <v>0</v>
      </c>
      <c r="N361" s="134">
        <f t="shared" si="73"/>
        <v>399.7</v>
      </c>
      <c r="O361" s="94"/>
      <c r="P361" s="94"/>
    </row>
    <row r="362" spans="1:16" ht="32.25" thickBot="1" x14ac:dyDescent="0.25">
      <c r="A362" s="133"/>
      <c r="B362" s="58" t="s">
        <v>35</v>
      </c>
      <c r="C362" s="44" t="s">
        <v>403</v>
      </c>
      <c r="D362" s="124" t="s">
        <v>36</v>
      </c>
      <c r="E362" s="124"/>
      <c r="F362" s="134">
        <v>399.7</v>
      </c>
      <c r="G362" s="134"/>
      <c r="H362" s="134">
        <f>SUM(F362)</f>
        <v>399.7</v>
      </c>
      <c r="I362" s="135"/>
      <c r="J362" s="135"/>
      <c r="K362" s="135"/>
      <c r="L362" s="134">
        <f t="shared" si="73"/>
        <v>399.7</v>
      </c>
      <c r="M362" s="134">
        <f t="shared" si="73"/>
        <v>0</v>
      </c>
      <c r="N362" s="134">
        <f t="shared" si="73"/>
        <v>399.7</v>
      </c>
      <c r="O362" s="94"/>
      <c r="P362" s="94"/>
    </row>
    <row r="363" spans="1:16" ht="16.5" customHeight="1" thickBot="1" x14ac:dyDescent="0.25">
      <c r="A363" s="26" t="s">
        <v>404</v>
      </c>
      <c r="B363" s="461" t="s">
        <v>405</v>
      </c>
      <c r="C363" s="462"/>
      <c r="D363" s="463"/>
      <c r="E363" s="150"/>
      <c r="F363" s="27">
        <f>F364+F368+F374+F390+F394</f>
        <v>41335.199999999997</v>
      </c>
      <c r="G363" s="27">
        <f>G364+G368+G374+G390+G394</f>
        <v>4539.8</v>
      </c>
      <c r="H363" s="27">
        <f>H364+H368+H374+H390+H394</f>
        <v>45875</v>
      </c>
      <c r="I363" s="28">
        <f>I364+I368+I374+I390</f>
        <v>768.1</v>
      </c>
      <c r="J363" s="27">
        <f>J364+J368+J374+J390</f>
        <v>0</v>
      </c>
      <c r="K363" s="28">
        <f>K364+K368+K374+K390</f>
        <v>768.1</v>
      </c>
      <c r="L363" s="27">
        <f>L364+L368+L374+L390+L394</f>
        <v>42103.3</v>
      </c>
      <c r="M363" s="27">
        <f>M364+M368+M374+M390+M394</f>
        <v>4539.8</v>
      </c>
      <c r="N363" s="27">
        <f>N364+N368+N374+N390+N394</f>
        <v>46643.1</v>
      </c>
      <c r="O363" s="93"/>
      <c r="P363" s="93"/>
    </row>
    <row r="364" spans="1:16" ht="31.5" x14ac:dyDescent="0.2">
      <c r="A364" s="16" t="s">
        <v>406</v>
      </c>
      <c r="B364" s="29" t="s">
        <v>407</v>
      </c>
      <c r="C364" s="30" t="s">
        <v>408</v>
      </c>
      <c r="D364" s="31" t="s">
        <v>26</v>
      </c>
      <c r="E364" s="109"/>
      <c r="F364" s="32">
        <f t="shared" ref="F364:N366" si="74">F365</f>
        <v>2021.3</v>
      </c>
      <c r="G364" s="32">
        <f t="shared" si="74"/>
        <v>246.8</v>
      </c>
      <c r="H364" s="32">
        <f t="shared" si="74"/>
        <v>2268.1</v>
      </c>
      <c r="I364" s="33">
        <f t="shared" si="74"/>
        <v>0</v>
      </c>
      <c r="J364" s="32">
        <f>J365</f>
        <v>0</v>
      </c>
      <c r="K364" s="33">
        <f t="shared" si="74"/>
        <v>0</v>
      </c>
      <c r="L364" s="32">
        <f t="shared" si="74"/>
        <v>2021.3</v>
      </c>
      <c r="M364" s="32">
        <f t="shared" si="74"/>
        <v>246.8</v>
      </c>
      <c r="N364" s="32">
        <f t="shared" si="74"/>
        <v>2268.1</v>
      </c>
      <c r="O364" s="98"/>
      <c r="P364" s="98"/>
    </row>
    <row r="365" spans="1:16" ht="22.15" customHeight="1" x14ac:dyDescent="0.2">
      <c r="A365" s="49"/>
      <c r="B365" s="50" t="s">
        <v>409</v>
      </c>
      <c r="C365" s="51" t="s">
        <v>410</v>
      </c>
      <c r="D365" s="52" t="s">
        <v>26</v>
      </c>
      <c r="E365" s="106"/>
      <c r="F365" s="63">
        <f t="shared" si="74"/>
        <v>2021.3</v>
      </c>
      <c r="G365" s="63">
        <f t="shared" si="74"/>
        <v>246.8</v>
      </c>
      <c r="H365" s="63">
        <f t="shared" si="74"/>
        <v>2268.1</v>
      </c>
      <c r="I365" s="64">
        <f t="shared" si="74"/>
        <v>0</v>
      </c>
      <c r="J365" s="63">
        <f>J366</f>
        <v>0</v>
      </c>
      <c r="K365" s="64">
        <f t="shared" si="74"/>
        <v>0</v>
      </c>
      <c r="L365" s="63">
        <f t="shared" si="74"/>
        <v>2021.3</v>
      </c>
      <c r="M365" s="63">
        <f t="shared" si="74"/>
        <v>246.8</v>
      </c>
      <c r="N365" s="63">
        <f t="shared" si="74"/>
        <v>2268.1</v>
      </c>
      <c r="O365" s="99"/>
      <c r="P365" s="99"/>
    </row>
    <row r="366" spans="1:16" ht="31.5" x14ac:dyDescent="0.2">
      <c r="A366" s="42"/>
      <c r="B366" s="43" t="s">
        <v>93</v>
      </c>
      <c r="C366" s="44" t="s">
        <v>411</v>
      </c>
      <c r="D366" s="45" t="s">
        <v>26</v>
      </c>
      <c r="E366" s="105"/>
      <c r="F366" s="65">
        <f t="shared" si="74"/>
        <v>2021.3</v>
      </c>
      <c r="G366" s="65">
        <f t="shared" si="74"/>
        <v>246.8</v>
      </c>
      <c r="H366" s="65">
        <f t="shared" si="74"/>
        <v>2268.1</v>
      </c>
      <c r="I366" s="66">
        <f t="shared" si="74"/>
        <v>0</v>
      </c>
      <c r="J366" s="89"/>
      <c r="K366" s="66">
        <f t="shared" si="74"/>
        <v>0</v>
      </c>
      <c r="L366" s="65">
        <f t="shared" si="74"/>
        <v>2021.3</v>
      </c>
      <c r="M366" s="65">
        <f t="shared" si="74"/>
        <v>246.8</v>
      </c>
      <c r="N366" s="65">
        <f t="shared" si="74"/>
        <v>2268.1</v>
      </c>
      <c r="O366" s="100"/>
      <c r="P366" s="100"/>
    </row>
    <row r="367" spans="1:16" ht="69" customHeight="1" x14ac:dyDescent="0.2">
      <c r="A367" s="42"/>
      <c r="B367" s="43" t="s">
        <v>31</v>
      </c>
      <c r="C367" s="44" t="s">
        <v>411</v>
      </c>
      <c r="D367" s="45" t="s">
        <v>32</v>
      </c>
      <c r="E367" s="105"/>
      <c r="F367" s="65">
        <v>2021.3</v>
      </c>
      <c r="G367" s="65">
        <v>246.8</v>
      </c>
      <c r="H367" s="65">
        <f>2021.3+G367</f>
        <v>2268.1</v>
      </c>
      <c r="I367" s="66">
        <v>0</v>
      </c>
      <c r="J367" s="89"/>
      <c r="K367" s="66">
        <v>0</v>
      </c>
      <c r="L367" s="65">
        <v>2021.3</v>
      </c>
      <c r="M367" s="65">
        <f>SUM(G367)</f>
        <v>246.8</v>
      </c>
      <c r="N367" s="65">
        <f>2021.3+M367</f>
        <v>2268.1</v>
      </c>
      <c r="O367" s="100"/>
      <c r="P367" s="100"/>
    </row>
    <row r="368" spans="1:16" ht="31.5" x14ac:dyDescent="0.2">
      <c r="A368" s="19" t="s">
        <v>412</v>
      </c>
      <c r="B368" s="20" t="s">
        <v>413</v>
      </c>
      <c r="C368" s="21" t="s">
        <v>414</v>
      </c>
      <c r="D368" s="22" t="s">
        <v>26</v>
      </c>
      <c r="E368" s="104"/>
      <c r="F368" s="34">
        <f t="shared" ref="F368:N368" si="75">F369</f>
        <v>1395.6</v>
      </c>
      <c r="G368" s="34">
        <f t="shared" si="75"/>
        <v>0</v>
      </c>
      <c r="H368" s="34">
        <f t="shared" si="75"/>
        <v>1395.6</v>
      </c>
      <c r="I368" s="35">
        <f t="shared" si="75"/>
        <v>0</v>
      </c>
      <c r="J368" s="34">
        <f t="shared" si="75"/>
        <v>0</v>
      </c>
      <c r="K368" s="35">
        <f t="shared" si="75"/>
        <v>0</v>
      </c>
      <c r="L368" s="34">
        <f t="shared" si="75"/>
        <v>1395.6</v>
      </c>
      <c r="M368" s="34">
        <f t="shared" si="75"/>
        <v>0</v>
      </c>
      <c r="N368" s="34">
        <f t="shared" si="75"/>
        <v>1395.6</v>
      </c>
      <c r="O368" s="98"/>
      <c r="P368" s="98"/>
    </row>
    <row r="369" spans="1:16" ht="31.5" x14ac:dyDescent="0.2">
      <c r="A369" s="49"/>
      <c r="B369" s="50" t="s">
        <v>415</v>
      </c>
      <c r="C369" s="51" t="s">
        <v>416</v>
      </c>
      <c r="D369" s="52" t="s">
        <v>26</v>
      </c>
      <c r="E369" s="106"/>
      <c r="F369" s="63">
        <f t="shared" ref="F369:N369" si="76">F370+F372</f>
        <v>1395.6</v>
      </c>
      <c r="G369" s="63">
        <f t="shared" si="76"/>
        <v>0</v>
      </c>
      <c r="H369" s="63">
        <f t="shared" si="76"/>
        <v>1395.6</v>
      </c>
      <c r="I369" s="64">
        <f t="shared" si="76"/>
        <v>0</v>
      </c>
      <c r="J369" s="63">
        <f t="shared" si="76"/>
        <v>0</v>
      </c>
      <c r="K369" s="64">
        <f t="shared" si="76"/>
        <v>0</v>
      </c>
      <c r="L369" s="63">
        <f t="shared" si="76"/>
        <v>1395.6</v>
      </c>
      <c r="M369" s="63">
        <f t="shared" si="76"/>
        <v>0</v>
      </c>
      <c r="N369" s="63">
        <f t="shared" si="76"/>
        <v>1395.6</v>
      </c>
      <c r="O369" s="99"/>
      <c r="P369" s="99"/>
    </row>
    <row r="370" spans="1:16" ht="31.5" x14ac:dyDescent="0.2">
      <c r="A370" s="42"/>
      <c r="B370" s="43" t="s">
        <v>93</v>
      </c>
      <c r="C370" s="44" t="s">
        <v>417</v>
      </c>
      <c r="D370" s="45" t="s">
        <v>26</v>
      </c>
      <c r="E370" s="105"/>
      <c r="F370" s="65">
        <f>F371</f>
        <v>8.1</v>
      </c>
      <c r="G370" s="65">
        <f>G371</f>
        <v>0</v>
      </c>
      <c r="H370" s="65">
        <f>H371</f>
        <v>8.1</v>
      </c>
      <c r="I370" s="66">
        <f>I371</f>
        <v>0</v>
      </c>
      <c r="J370" s="89"/>
      <c r="K370" s="66">
        <f>K371</f>
        <v>0</v>
      </c>
      <c r="L370" s="65">
        <f>L371</f>
        <v>8.1</v>
      </c>
      <c r="M370" s="65">
        <f>M371</f>
        <v>0</v>
      </c>
      <c r="N370" s="65">
        <f>N371</f>
        <v>8.1</v>
      </c>
      <c r="O370" s="100"/>
      <c r="P370" s="100"/>
    </row>
    <row r="371" spans="1:16" ht="31.5" x14ac:dyDescent="0.2">
      <c r="A371" s="42"/>
      <c r="B371" s="43" t="s">
        <v>35</v>
      </c>
      <c r="C371" s="44" t="s">
        <v>417</v>
      </c>
      <c r="D371" s="45" t="s">
        <v>36</v>
      </c>
      <c r="E371" s="105"/>
      <c r="F371" s="79">
        <f>8+0.1</f>
        <v>8.1</v>
      </c>
      <c r="G371" s="79"/>
      <c r="H371" s="79">
        <f>8+0.1</f>
        <v>8.1</v>
      </c>
      <c r="I371" s="66">
        <v>0</v>
      </c>
      <c r="J371" s="117"/>
      <c r="K371" s="66">
        <v>0</v>
      </c>
      <c r="L371" s="79">
        <f>8+0.1</f>
        <v>8.1</v>
      </c>
      <c r="M371" s="79"/>
      <c r="N371" s="79">
        <f>8+0.1</f>
        <v>8.1</v>
      </c>
      <c r="O371" s="100"/>
      <c r="P371" s="100"/>
    </row>
    <row r="372" spans="1:16" ht="50.45" customHeight="1" x14ac:dyDescent="0.2">
      <c r="A372" s="42"/>
      <c r="B372" s="43" t="s">
        <v>418</v>
      </c>
      <c r="C372" s="44" t="s">
        <v>419</v>
      </c>
      <c r="D372" s="45" t="s">
        <v>26</v>
      </c>
      <c r="E372" s="105"/>
      <c r="F372" s="65">
        <f>F373</f>
        <v>1387.5</v>
      </c>
      <c r="G372" s="65">
        <f>G373</f>
        <v>0</v>
      </c>
      <c r="H372" s="65">
        <f>H373</f>
        <v>1387.5</v>
      </c>
      <c r="I372" s="66">
        <f>I373</f>
        <v>0</v>
      </c>
      <c r="J372" s="89"/>
      <c r="K372" s="66">
        <f>K373</f>
        <v>0</v>
      </c>
      <c r="L372" s="65">
        <f>L373</f>
        <v>1387.5</v>
      </c>
      <c r="M372" s="65">
        <f>M373</f>
        <v>0</v>
      </c>
      <c r="N372" s="65">
        <f>N373</f>
        <v>1387.5</v>
      </c>
      <c r="O372" s="100"/>
      <c r="P372" s="100"/>
    </row>
    <row r="373" spans="1:16" ht="15.75" x14ac:dyDescent="0.2">
      <c r="A373" s="42"/>
      <c r="B373" s="43" t="s">
        <v>278</v>
      </c>
      <c r="C373" s="44" t="s">
        <v>419</v>
      </c>
      <c r="D373" s="45" t="s">
        <v>279</v>
      </c>
      <c r="E373" s="105"/>
      <c r="F373" s="79">
        <f>1387.6-0.1</f>
        <v>1387.5</v>
      </c>
      <c r="G373" s="79"/>
      <c r="H373" s="79">
        <f>1387.6-0.1</f>
        <v>1387.5</v>
      </c>
      <c r="I373" s="66">
        <v>0</v>
      </c>
      <c r="J373" s="117"/>
      <c r="K373" s="66">
        <v>0</v>
      </c>
      <c r="L373" s="79">
        <f>1387.6-0.1</f>
        <v>1387.5</v>
      </c>
      <c r="M373" s="79"/>
      <c r="N373" s="79">
        <f>1387.6-0.1</f>
        <v>1387.5</v>
      </c>
      <c r="O373" s="100"/>
      <c r="P373" s="100"/>
    </row>
    <row r="374" spans="1:16" ht="31.5" x14ac:dyDescent="0.2">
      <c r="A374" s="19" t="s">
        <v>420</v>
      </c>
      <c r="B374" s="20" t="s">
        <v>421</v>
      </c>
      <c r="C374" s="21" t="s">
        <v>422</v>
      </c>
      <c r="D374" s="22" t="s">
        <v>26</v>
      </c>
      <c r="E374" s="104"/>
      <c r="F374" s="34">
        <f t="shared" ref="F374:N374" si="77">F375+F380+F386</f>
        <v>37323.199999999997</v>
      </c>
      <c r="G374" s="34">
        <f t="shared" si="77"/>
        <v>4114.5</v>
      </c>
      <c r="H374" s="34">
        <f t="shared" si="77"/>
        <v>41437.700000000004</v>
      </c>
      <c r="I374" s="35">
        <f t="shared" si="77"/>
        <v>768.1</v>
      </c>
      <c r="J374" s="34">
        <f t="shared" si="77"/>
        <v>0</v>
      </c>
      <c r="K374" s="35">
        <f t="shared" si="77"/>
        <v>768.1</v>
      </c>
      <c r="L374" s="34">
        <f t="shared" si="77"/>
        <v>38091.300000000003</v>
      </c>
      <c r="M374" s="34">
        <f t="shared" si="77"/>
        <v>4114.5</v>
      </c>
      <c r="N374" s="34">
        <f t="shared" si="77"/>
        <v>42205.8</v>
      </c>
      <c r="O374" s="98"/>
      <c r="P374" s="98"/>
    </row>
    <row r="375" spans="1:16" ht="31.5" x14ac:dyDescent="0.2">
      <c r="A375" s="49"/>
      <c r="B375" s="50" t="s">
        <v>423</v>
      </c>
      <c r="C375" s="51" t="s">
        <v>424</v>
      </c>
      <c r="D375" s="52" t="s">
        <v>26</v>
      </c>
      <c r="E375" s="106"/>
      <c r="F375" s="63">
        <f t="shared" ref="F375:N375" si="78">F376</f>
        <v>31630.2</v>
      </c>
      <c r="G375" s="63">
        <f t="shared" si="78"/>
        <v>4114.5</v>
      </c>
      <c r="H375" s="63">
        <f t="shared" si="78"/>
        <v>35744.700000000004</v>
      </c>
      <c r="I375" s="64">
        <f t="shared" si="78"/>
        <v>0</v>
      </c>
      <c r="J375" s="63">
        <f t="shared" si="78"/>
        <v>0</v>
      </c>
      <c r="K375" s="64">
        <f t="shared" si="78"/>
        <v>0</v>
      </c>
      <c r="L375" s="63">
        <f t="shared" si="78"/>
        <v>31630.2</v>
      </c>
      <c r="M375" s="63">
        <f t="shared" si="78"/>
        <v>4114.5</v>
      </c>
      <c r="N375" s="63">
        <f t="shared" si="78"/>
        <v>35744.700000000004</v>
      </c>
      <c r="O375" s="99"/>
      <c r="P375" s="99"/>
    </row>
    <row r="376" spans="1:16" ht="31.5" x14ac:dyDescent="0.2">
      <c r="A376" s="42"/>
      <c r="B376" s="43" t="s">
        <v>93</v>
      </c>
      <c r="C376" s="44" t="s">
        <v>425</v>
      </c>
      <c r="D376" s="45" t="s">
        <v>26</v>
      </c>
      <c r="E376" s="105"/>
      <c r="F376" s="65">
        <f>F377+F378+F379</f>
        <v>31630.2</v>
      </c>
      <c r="G376" s="65">
        <f>G377+G378+G379</f>
        <v>4114.5</v>
      </c>
      <c r="H376" s="65">
        <f>H377+H378+H379</f>
        <v>35744.700000000004</v>
      </c>
      <c r="I376" s="66">
        <f>I377+I378+I379</f>
        <v>0</v>
      </c>
      <c r="J376" s="89"/>
      <c r="K376" s="66">
        <f>K377+K378+K379</f>
        <v>0</v>
      </c>
      <c r="L376" s="65">
        <f>L377+L378+L379</f>
        <v>31630.2</v>
      </c>
      <c r="M376" s="65">
        <f>M377+M378+M379</f>
        <v>4114.5</v>
      </c>
      <c r="N376" s="65">
        <f>N377+N378+N379</f>
        <v>35744.700000000004</v>
      </c>
      <c r="O376" s="100"/>
      <c r="P376" s="100"/>
    </row>
    <row r="377" spans="1:16" ht="70.150000000000006" customHeight="1" x14ac:dyDescent="0.2">
      <c r="A377" s="42"/>
      <c r="B377" s="43" t="s">
        <v>31</v>
      </c>
      <c r="C377" s="44" t="s">
        <v>425</v>
      </c>
      <c r="D377" s="45" t="s">
        <v>32</v>
      </c>
      <c r="E377" s="105"/>
      <c r="F377" s="65">
        <v>31298.799999999999</v>
      </c>
      <c r="G377" s="65">
        <v>3976</v>
      </c>
      <c r="H377" s="65">
        <f>31298.8+G377</f>
        <v>35274.800000000003</v>
      </c>
      <c r="I377" s="66">
        <v>0</v>
      </c>
      <c r="J377" s="89"/>
      <c r="K377" s="66">
        <v>0</v>
      </c>
      <c r="L377" s="65">
        <f>SUM(F377)</f>
        <v>31298.799999999999</v>
      </c>
      <c r="M377" s="65">
        <f>SUM(G377)</f>
        <v>3976</v>
      </c>
      <c r="N377" s="65">
        <f>SUM(M377)+L377</f>
        <v>35274.800000000003</v>
      </c>
      <c r="O377" s="100"/>
      <c r="P377" s="100"/>
    </row>
    <row r="378" spans="1:16" ht="31.5" x14ac:dyDescent="0.2">
      <c r="A378" s="42"/>
      <c r="B378" s="43" t="s">
        <v>35</v>
      </c>
      <c r="C378" s="44" t="s">
        <v>425</v>
      </c>
      <c r="D378" s="45" t="s">
        <v>36</v>
      </c>
      <c r="E378" s="105"/>
      <c r="F378" s="65">
        <v>291.39999999999998</v>
      </c>
      <c r="G378" s="65"/>
      <c r="H378" s="65">
        <f>291.4+G378</f>
        <v>291.39999999999998</v>
      </c>
      <c r="I378" s="66">
        <v>0</v>
      </c>
      <c r="J378" s="89"/>
      <c r="K378" s="66">
        <v>0</v>
      </c>
      <c r="L378" s="65">
        <v>291.39999999999998</v>
      </c>
      <c r="M378" s="65">
        <f>SUM(G378)</f>
        <v>0</v>
      </c>
      <c r="N378" s="65">
        <f>291.4+M378</f>
        <v>291.39999999999998</v>
      </c>
      <c r="O378" s="100"/>
      <c r="P378" s="100"/>
    </row>
    <row r="379" spans="1:16" ht="15.75" x14ac:dyDescent="0.2">
      <c r="A379" s="42"/>
      <c r="B379" s="43" t="s">
        <v>41</v>
      </c>
      <c r="C379" s="44" t="s">
        <v>425</v>
      </c>
      <c r="D379" s="45" t="s">
        <v>42</v>
      </c>
      <c r="E379" s="105"/>
      <c r="F379" s="65">
        <v>40</v>
      </c>
      <c r="G379" s="65">
        <v>138.5</v>
      </c>
      <c r="H379" s="65">
        <f>40+G379</f>
        <v>178.5</v>
      </c>
      <c r="I379" s="66">
        <v>0</v>
      </c>
      <c r="J379" s="89"/>
      <c r="K379" s="66">
        <v>0</v>
      </c>
      <c r="L379" s="65">
        <v>40</v>
      </c>
      <c r="M379" s="65">
        <f>SUM(G379)</f>
        <v>138.5</v>
      </c>
      <c r="N379" s="65">
        <f>40+M379</f>
        <v>178.5</v>
      </c>
      <c r="O379" s="100"/>
      <c r="P379" s="100"/>
    </row>
    <row r="380" spans="1:16" ht="21.6" customHeight="1" x14ac:dyDescent="0.2">
      <c r="A380" s="49"/>
      <c r="B380" s="43" t="s">
        <v>426</v>
      </c>
      <c r="C380" s="44" t="s">
        <v>427</v>
      </c>
      <c r="D380" s="45" t="s">
        <v>26</v>
      </c>
      <c r="E380" s="105"/>
      <c r="F380" s="65">
        <f>F384</f>
        <v>0</v>
      </c>
      <c r="G380" s="65">
        <f>G384</f>
        <v>0</v>
      </c>
      <c r="H380" s="65">
        <f>H384</f>
        <v>0</v>
      </c>
      <c r="I380" s="66">
        <f>I384+I381</f>
        <v>768.1</v>
      </c>
      <c r="J380" s="89"/>
      <c r="K380" s="66">
        <f>K384+K381</f>
        <v>768.1</v>
      </c>
      <c r="L380" s="66">
        <f>L384+L381</f>
        <v>768.1</v>
      </c>
      <c r="M380" s="65">
        <f>M384</f>
        <v>0</v>
      </c>
      <c r="N380" s="66">
        <f>N384+N381</f>
        <v>768.1</v>
      </c>
      <c r="O380" s="100"/>
      <c r="P380" s="100"/>
    </row>
    <row r="381" spans="1:16" ht="125.45" customHeight="1" x14ac:dyDescent="0.2">
      <c r="A381" s="49"/>
      <c r="B381" s="127" t="s">
        <v>428</v>
      </c>
      <c r="C381" s="44" t="s">
        <v>429</v>
      </c>
      <c r="D381" s="45"/>
      <c r="E381" s="105"/>
      <c r="F381" s="65"/>
      <c r="G381" s="65"/>
      <c r="H381" s="65"/>
      <c r="I381" s="66">
        <f>SUM(I382+I383)</f>
        <v>755.7</v>
      </c>
      <c r="J381" s="89"/>
      <c r="K381" s="66">
        <f>SUM(K382+K383)</f>
        <v>755.7</v>
      </c>
      <c r="L381" s="66">
        <f>SUM(L382+L383)</f>
        <v>755.7</v>
      </c>
      <c r="M381" s="65"/>
      <c r="N381" s="66">
        <f>SUM(N382+N383)</f>
        <v>755.7</v>
      </c>
      <c r="O381" s="100"/>
      <c r="P381" s="100"/>
    </row>
    <row r="382" spans="1:16" ht="66" customHeight="1" x14ac:dyDescent="0.2">
      <c r="A382" s="49"/>
      <c r="B382" s="43" t="s">
        <v>31</v>
      </c>
      <c r="C382" s="44" t="s">
        <v>429</v>
      </c>
      <c r="D382" s="45" t="s">
        <v>32</v>
      </c>
      <c r="E382" s="105"/>
      <c r="F382" s="65"/>
      <c r="G382" s="65"/>
      <c r="H382" s="65"/>
      <c r="I382" s="66">
        <v>674.7</v>
      </c>
      <c r="J382" s="89"/>
      <c r="K382" s="66">
        <v>674.7</v>
      </c>
      <c r="L382" s="66">
        <v>674.7</v>
      </c>
      <c r="M382" s="65"/>
      <c r="N382" s="66">
        <v>674.7</v>
      </c>
      <c r="O382" s="100"/>
      <c r="P382" s="100"/>
    </row>
    <row r="383" spans="1:16" ht="23.45" customHeight="1" x14ac:dyDescent="0.2">
      <c r="A383" s="49"/>
      <c r="B383" s="43" t="s">
        <v>35</v>
      </c>
      <c r="C383" s="44" t="s">
        <v>429</v>
      </c>
      <c r="D383" s="45" t="s">
        <v>36</v>
      </c>
      <c r="E383" s="105"/>
      <c r="F383" s="65"/>
      <c r="G383" s="65"/>
      <c r="H383" s="65"/>
      <c r="I383" s="66">
        <v>81</v>
      </c>
      <c r="J383" s="89"/>
      <c r="K383" s="66">
        <v>81</v>
      </c>
      <c r="L383" s="66">
        <v>81</v>
      </c>
      <c r="M383" s="65"/>
      <c r="N383" s="66">
        <v>81</v>
      </c>
      <c r="O383" s="100"/>
      <c r="P383" s="100"/>
    </row>
    <row r="384" spans="1:16" ht="47.25" x14ac:dyDescent="0.2">
      <c r="A384" s="42"/>
      <c r="B384" s="43" t="s">
        <v>430</v>
      </c>
      <c r="C384" s="44" t="s">
        <v>431</v>
      </c>
      <c r="D384" s="45" t="s">
        <v>26</v>
      </c>
      <c r="E384" s="105"/>
      <c r="F384" s="65">
        <f t="shared" ref="F384:N384" si="79">F385</f>
        <v>0</v>
      </c>
      <c r="G384" s="65">
        <f t="shared" si="79"/>
        <v>0</v>
      </c>
      <c r="H384" s="65">
        <f t="shared" si="79"/>
        <v>0</v>
      </c>
      <c r="I384" s="66">
        <f t="shared" si="79"/>
        <v>12.4</v>
      </c>
      <c r="J384" s="89"/>
      <c r="K384" s="66">
        <f t="shared" si="79"/>
        <v>12.4</v>
      </c>
      <c r="L384" s="65">
        <f t="shared" si="79"/>
        <v>12.4</v>
      </c>
      <c r="M384" s="65">
        <f t="shared" si="79"/>
        <v>0</v>
      </c>
      <c r="N384" s="65">
        <f t="shared" si="79"/>
        <v>12.4</v>
      </c>
      <c r="O384" s="100"/>
      <c r="P384" s="100"/>
    </row>
    <row r="385" spans="1:16" ht="31.5" x14ac:dyDescent="0.2">
      <c r="A385" s="42"/>
      <c r="B385" s="43" t="s">
        <v>35</v>
      </c>
      <c r="C385" s="44" t="s">
        <v>431</v>
      </c>
      <c r="D385" s="45" t="s">
        <v>36</v>
      </c>
      <c r="E385" s="105"/>
      <c r="F385" s="65">
        <v>0</v>
      </c>
      <c r="G385" s="65">
        <v>0</v>
      </c>
      <c r="H385" s="65">
        <v>0</v>
      </c>
      <c r="I385" s="66">
        <v>12.4</v>
      </c>
      <c r="J385" s="89"/>
      <c r="K385" s="66">
        <v>12.4</v>
      </c>
      <c r="L385" s="65">
        <v>12.4</v>
      </c>
      <c r="M385" s="65">
        <v>0</v>
      </c>
      <c r="N385" s="65">
        <v>12.4</v>
      </c>
      <c r="O385" s="100"/>
      <c r="P385" s="100"/>
    </row>
    <row r="386" spans="1:16" ht="15.75" x14ac:dyDescent="0.2">
      <c r="A386" s="49"/>
      <c r="B386" s="50" t="s">
        <v>432</v>
      </c>
      <c r="C386" s="51" t="s">
        <v>433</v>
      </c>
      <c r="D386" s="52" t="s">
        <v>26</v>
      </c>
      <c r="E386" s="106"/>
      <c r="F386" s="63">
        <f t="shared" ref="F386:N386" si="80">F387</f>
        <v>5693</v>
      </c>
      <c r="G386" s="63">
        <f t="shared" si="80"/>
        <v>0</v>
      </c>
      <c r="H386" s="63">
        <f t="shared" si="80"/>
        <v>5693</v>
      </c>
      <c r="I386" s="64">
        <f t="shared" si="80"/>
        <v>0</v>
      </c>
      <c r="J386" s="63">
        <f t="shared" si="80"/>
        <v>0</v>
      </c>
      <c r="K386" s="64">
        <f t="shared" si="80"/>
        <v>0</v>
      </c>
      <c r="L386" s="63">
        <f t="shared" si="80"/>
        <v>5693</v>
      </c>
      <c r="M386" s="63">
        <f t="shared" si="80"/>
        <v>0</v>
      </c>
      <c r="N386" s="63">
        <f t="shared" si="80"/>
        <v>5693</v>
      </c>
      <c r="O386" s="99"/>
      <c r="P386" s="99"/>
    </row>
    <row r="387" spans="1:16" ht="31.5" x14ac:dyDescent="0.2">
      <c r="A387" s="42"/>
      <c r="B387" s="43" t="s">
        <v>434</v>
      </c>
      <c r="C387" s="44" t="s">
        <v>435</v>
      </c>
      <c r="D387" s="45" t="s">
        <v>26</v>
      </c>
      <c r="E387" s="105"/>
      <c r="F387" s="65">
        <f>F389+F388</f>
        <v>5693</v>
      </c>
      <c r="G387" s="65">
        <f>SUM(G389)+G388</f>
        <v>0</v>
      </c>
      <c r="H387" s="65">
        <f>H389+H388</f>
        <v>5693</v>
      </c>
      <c r="I387" s="66">
        <f>I389</f>
        <v>0</v>
      </c>
      <c r="J387" s="89"/>
      <c r="K387" s="66">
        <f>K389</f>
        <v>0</v>
      </c>
      <c r="L387" s="65">
        <f>SUM(F387)</f>
        <v>5693</v>
      </c>
      <c r="M387" s="65">
        <f>SUM(M389)+M388</f>
        <v>0</v>
      </c>
      <c r="N387" s="65">
        <f>SUM(H387)</f>
        <v>5693</v>
      </c>
      <c r="O387" s="100"/>
      <c r="P387" s="100"/>
    </row>
    <row r="388" spans="1:16" ht="31.5" x14ac:dyDescent="0.2">
      <c r="A388" s="42"/>
      <c r="B388" s="43" t="s">
        <v>35</v>
      </c>
      <c r="C388" s="44" t="s">
        <v>435</v>
      </c>
      <c r="D388" s="45" t="s">
        <v>36</v>
      </c>
      <c r="E388" s="105"/>
      <c r="F388" s="65">
        <v>3601.8</v>
      </c>
      <c r="G388" s="65"/>
      <c r="H388" s="65">
        <f>SUM(F388)+G388</f>
        <v>3601.8</v>
      </c>
      <c r="I388" s="66"/>
      <c r="J388" s="89"/>
      <c r="K388" s="66"/>
      <c r="L388" s="65">
        <f>SUM(F388)</f>
        <v>3601.8</v>
      </c>
      <c r="M388" s="65">
        <f>SUM(G388)</f>
        <v>0</v>
      </c>
      <c r="N388" s="65">
        <f>SUM(H388)</f>
        <v>3601.8</v>
      </c>
      <c r="O388" s="100"/>
      <c r="P388" s="100"/>
    </row>
    <row r="389" spans="1:16" ht="15.75" x14ac:dyDescent="0.2">
      <c r="A389" s="42"/>
      <c r="B389" s="43" t="s">
        <v>41</v>
      </c>
      <c r="C389" s="44" t="s">
        <v>435</v>
      </c>
      <c r="D389" s="45" t="s">
        <v>42</v>
      </c>
      <c r="E389" s="105"/>
      <c r="F389" s="65">
        <v>2091.1999999999998</v>
      </c>
      <c r="G389" s="65"/>
      <c r="H389" s="65">
        <f>2091.2+G389</f>
        <v>2091.1999999999998</v>
      </c>
      <c r="I389" s="66">
        <v>0</v>
      </c>
      <c r="J389" s="89"/>
      <c r="K389" s="66">
        <v>0</v>
      </c>
      <c r="L389" s="147">
        <v>1000</v>
      </c>
      <c r="M389" s="147">
        <f>SUM(G389)</f>
        <v>0</v>
      </c>
      <c r="N389" s="147">
        <f>1000+M389</f>
        <v>1000</v>
      </c>
      <c r="O389" s="100"/>
      <c r="P389" s="100"/>
    </row>
    <row r="390" spans="1:16" ht="31.5" hidden="1" x14ac:dyDescent="0.2">
      <c r="A390" s="19" t="s">
        <v>436</v>
      </c>
      <c r="B390" s="20" t="s">
        <v>437</v>
      </c>
      <c r="C390" s="21" t="s">
        <v>438</v>
      </c>
      <c r="D390" s="22" t="s">
        <v>26</v>
      </c>
      <c r="E390" s="104"/>
      <c r="F390" s="34">
        <f>F391</f>
        <v>0</v>
      </c>
      <c r="G390" s="116"/>
      <c r="H390" s="116"/>
      <c r="I390" s="35">
        <f>I391</f>
        <v>0</v>
      </c>
      <c r="J390" s="36"/>
      <c r="K390" s="36"/>
      <c r="L390" s="36"/>
      <c r="M390" s="36"/>
      <c r="N390" s="36">
        <f>N391</f>
        <v>0</v>
      </c>
      <c r="O390" s="98"/>
      <c r="P390" s="98"/>
    </row>
    <row r="391" spans="1:16" ht="31.5" hidden="1" x14ac:dyDescent="0.2">
      <c r="A391" s="42"/>
      <c r="B391" s="43" t="s">
        <v>439</v>
      </c>
      <c r="C391" s="44" t="s">
        <v>440</v>
      </c>
      <c r="D391" s="45" t="s">
        <v>26</v>
      </c>
      <c r="E391" s="105"/>
      <c r="F391" s="65">
        <f>F392</f>
        <v>0</v>
      </c>
      <c r="G391" s="89"/>
      <c r="H391" s="89"/>
      <c r="I391" s="66">
        <f>I392</f>
        <v>0</v>
      </c>
      <c r="J391" s="67"/>
      <c r="K391" s="67"/>
      <c r="L391" s="67"/>
      <c r="M391" s="67"/>
      <c r="N391" s="67">
        <f>N392</f>
        <v>0</v>
      </c>
      <c r="O391" s="100"/>
      <c r="P391" s="100"/>
    </row>
    <row r="392" spans="1:16" ht="31.5" hidden="1" x14ac:dyDescent="0.2">
      <c r="A392" s="42"/>
      <c r="B392" s="43" t="s">
        <v>441</v>
      </c>
      <c r="C392" s="44" t="s">
        <v>442</v>
      </c>
      <c r="D392" s="45" t="s">
        <v>26</v>
      </c>
      <c r="E392" s="105"/>
      <c r="F392" s="65"/>
      <c r="G392" s="89"/>
      <c r="H392" s="89"/>
      <c r="I392" s="66">
        <f>I398</f>
        <v>0</v>
      </c>
      <c r="J392" s="89"/>
      <c r="K392" s="89"/>
      <c r="L392" s="89"/>
      <c r="M392" s="89"/>
      <c r="N392" s="65"/>
      <c r="O392" s="100"/>
      <c r="P392" s="100"/>
    </row>
    <row r="393" spans="1:16" ht="16.5" hidden="1" thickBot="1" x14ac:dyDescent="0.25">
      <c r="A393" s="57"/>
      <c r="B393" s="68" t="s">
        <v>41</v>
      </c>
      <c r="C393" s="69" t="s">
        <v>442</v>
      </c>
      <c r="D393" s="45" t="s">
        <v>42</v>
      </c>
      <c r="E393" s="105"/>
      <c r="F393" s="65"/>
      <c r="G393" s="89"/>
      <c r="H393" s="89"/>
      <c r="I393" s="66">
        <v>0</v>
      </c>
      <c r="J393" s="89"/>
      <c r="K393" s="89"/>
      <c r="L393" s="89"/>
      <c r="M393" s="89"/>
      <c r="N393" s="65"/>
      <c r="O393" s="100"/>
      <c r="P393" s="100"/>
    </row>
    <row r="394" spans="1:16" ht="31.5" x14ac:dyDescent="0.2">
      <c r="A394" s="57"/>
      <c r="B394" s="122" t="s">
        <v>439</v>
      </c>
      <c r="C394" s="124" t="s">
        <v>440</v>
      </c>
      <c r="D394" s="124"/>
      <c r="E394" s="124"/>
      <c r="F394" s="66">
        <v>595.1</v>
      </c>
      <c r="G394" s="66">
        <f>SUM(G396)</f>
        <v>178.5</v>
      </c>
      <c r="H394" s="66">
        <f>SUM(F394)+G394</f>
        <v>773.6</v>
      </c>
      <c r="I394" s="66"/>
      <c r="J394" s="66"/>
      <c r="K394" s="66"/>
      <c r="L394" s="66">
        <f>SUM(F394)</f>
        <v>595.1</v>
      </c>
      <c r="M394" s="66">
        <f t="shared" ref="M394:N396" si="81">SUM(G394)</f>
        <v>178.5</v>
      </c>
      <c r="N394" s="66">
        <f t="shared" si="81"/>
        <v>773.6</v>
      </c>
      <c r="O394" s="100"/>
      <c r="P394" s="100"/>
    </row>
    <row r="395" spans="1:16" ht="31.5" x14ac:dyDescent="0.2">
      <c r="A395" s="57"/>
      <c r="B395" s="122" t="s">
        <v>441</v>
      </c>
      <c r="C395" s="125" t="s">
        <v>442</v>
      </c>
      <c r="D395" s="124"/>
      <c r="E395" s="124"/>
      <c r="F395" s="66">
        <v>595.1</v>
      </c>
      <c r="G395" s="66">
        <f>SUM(G396)</f>
        <v>178.5</v>
      </c>
      <c r="H395" s="66">
        <f>SUM(F395)+G395</f>
        <v>773.6</v>
      </c>
      <c r="I395" s="66"/>
      <c r="J395" s="66"/>
      <c r="K395" s="66"/>
      <c r="L395" s="66">
        <f>SUM(F395)</f>
        <v>595.1</v>
      </c>
      <c r="M395" s="66">
        <f t="shared" si="81"/>
        <v>178.5</v>
      </c>
      <c r="N395" s="66">
        <f t="shared" si="81"/>
        <v>773.6</v>
      </c>
      <c r="O395" s="100"/>
      <c r="P395" s="100"/>
    </row>
    <row r="396" spans="1:16" ht="15.75" x14ac:dyDescent="0.2">
      <c r="A396" s="57"/>
      <c r="B396" s="43" t="s">
        <v>41</v>
      </c>
      <c r="C396" s="125" t="s">
        <v>442</v>
      </c>
      <c r="D396" s="124" t="s">
        <v>42</v>
      </c>
      <c r="E396" s="124"/>
      <c r="F396" s="66">
        <v>595.1</v>
      </c>
      <c r="G396" s="66">
        <f>28.9+29.9+0.1+80+13.6+26</f>
        <v>178.5</v>
      </c>
      <c r="H396" s="66">
        <f>SUM(F396)+G396</f>
        <v>773.6</v>
      </c>
      <c r="I396" s="66"/>
      <c r="J396" s="66"/>
      <c r="K396" s="66"/>
      <c r="L396" s="66">
        <f>SUM(F396)</f>
        <v>595.1</v>
      </c>
      <c r="M396" s="66">
        <f t="shared" si="81"/>
        <v>178.5</v>
      </c>
      <c r="N396" s="66">
        <f t="shared" si="81"/>
        <v>773.6</v>
      </c>
      <c r="O396" s="100"/>
      <c r="P396" s="100"/>
    </row>
    <row r="397" spans="1:16" ht="34.15" customHeight="1" x14ac:dyDescent="0.2">
      <c r="A397" s="57"/>
      <c r="B397" s="464" t="s">
        <v>443</v>
      </c>
      <c r="C397" s="465"/>
      <c r="D397" s="465"/>
      <c r="E397" s="465"/>
      <c r="F397" s="465"/>
      <c r="G397" s="465"/>
      <c r="H397" s="465"/>
      <c r="I397" s="465"/>
      <c r="J397" s="465"/>
      <c r="K397" s="465"/>
      <c r="L397" s="465"/>
      <c r="M397" s="465"/>
      <c r="N397" s="465"/>
      <c r="O397" s="151"/>
      <c r="P397" s="151"/>
    </row>
    <row r="398" spans="1:16" ht="16.5" customHeight="1" thickBot="1" x14ac:dyDescent="0.25">
      <c r="A398" s="70"/>
      <c r="B398" s="466"/>
      <c r="C398" s="467"/>
      <c r="D398" s="467"/>
      <c r="E398" s="467"/>
      <c r="F398" s="467"/>
      <c r="G398" s="467"/>
      <c r="H398" s="467"/>
      <c r="I398" s="467"/>
      <c r="J398" s="467"/>
      <c r="K398" s="467"/>
      <c r="L398" s="467"/>
      <c r="M398" s="467"/>
      <c r="N398" s="467"/>
      <c r="O398" s="151"/>
      <c r="P398" s="151"/>
    </row>
  </sheetData>
  <mergeCells count="18">
    <mergeCell ref="C15:D15"/>
    <mergeCell ref="F15:N15"/>
    <mergeCell ref="B17:D17"/>
    <mergeCell ref="B363:D363"/>
    <mergeCell ref="B397:N398"/>
    <mergeCell ref="A8:N8"/>
    <mergeCell ref="A9:N9"/>
    <mergeCell ref="A10:N10"/>
    <mergeCell ref="A13:A14"/>
    <mergeCell ref="B13:B14"/>
    <mergeCell ref="C13:D13"/>
    <mergeCell ref="F13:N13"/>
    <mergeCell ref="I6:N6"/>
    <mergeCell ref="I1:N1"/>
    <mergeCell ref="I2:N2"/>
    <mergeCell ref="I3:N3"/>
    <mergeCell ref="I4:N4"/>
    <mergeCell ref="I5:N5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07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00"/>
  <sheetViews>
    <sheetView zoomScale="70" zoomScaleNormal="70" zoomScaleSheetLayoutView="70" workbookViewId="0">
      <selection activeCell="I338" sqref="I338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6" width="16.28515625" customWidth="1"/>
    <col min="7" max="7" width="15.7109375" customWidth="1"/>
    <col min="8" max="8" width="18.28515625" customWidth="1"/>
    <col min="9" max="9" width="18" customWidth="1"/>
    <col min="10" max="10" width="16.7109375" customWidth="1"/>
    <col min="11" max="12" width="18" customWidth="1"/>
    <col min="13" max="13" width="19" customWidth="1"/>
    <col min="14" max="14" width="22.28515625" customWidth="1"/>
    <col min="15" max="15" width="16.42578125" customWidth="1"/>
    <col min="16" max="16" width="12.7109375" customWidth="1"/>
    <col min="17" max="17" width="18.8554687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245"/>
      <c r="P1" s="245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245"/>
      <c r="P2" s="245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245"/>
      <c r="P3" s="245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245"/>
      <c r="P4" s="245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486</v>
      </c>
      <c r="J5" s="440"/>
      <c r="K5" s="440"/>
      <c r="L5" s="440"/>
      <c r="M5" s="440"/>
      <c r="N5" s="440"/>
      <c r="O5" s="245"/>
      <c r="P5" s="245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245"/>
      <c r="P6" s="245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246"/>
      <c r="P8" s="246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246"/>
      <c r="P9" s="246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247"/>
      <c r="P10" s="247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248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66" t="s">
        <v>15</v>
      </c>
      <c r="J14" s="167" t="s">
        <v>13</v>
      </c>
      <c r="K14" s="167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249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173" t="s">
        <v>20</v>
      </c>
      <c r="C16" s="173"/>
      <c r="D16" s="174"/>
      <c r="E16" s="175"/>
      <c r="F16" s="176">
        <f t="shared" ref="F16:N16" si="0">F17+F386</f>
        <v>712517.3</v>
      </c>
      <c r="G16" s="176">
        <f t="shared" si="0"/>
        <v>17895.499999999996</v>
      </c>
      <c r="H16" s="176">
        <f t="shared" si="0"/>
        <v>730441.00000000023</v>
      </c>
      <c r="I16" s="177">
        <f t="shared" si="0"/>
        <v>2665515.5000000005</v>
      </c>
      <c r="J16" s="176">
        <f t="shared" si="0"/>
        <v>9081.1</v>
      </c>
      <c r="K16" s="177">
        <f t="shared" si="0"/>
        <v>2674596.6000000006</v>
      </c>
      <c r="L16" s="177">
        <f>L17+L386</f>
        <v>3378032.8000000007</v>
      </c>
      <c r="M16" s="176">
        <f t="shared" si="0"/>
        <v>26976.6</v>
      </c>
      <c r="N16" s="177">
        <f t="shared" si="0"/>
        <v>3405037.6</v>
      </c>
      <c r="O16" s="178"/>
      <c r="P16" s="92"/>
    </row>
    <row r="17" spans="1:17" ht="32.450000000000003" customHeight="1" x14ac:dyDescent="0.2">
      <c r="A17" s="16" t="s">
        <v>21</v>
      </c>
      <c r="B17" s="445" t="s">
        <v>22</v>
      </c>
      <c r="C17" s="446"/>
      <c r="D17" s="446"/>
      <c r="E17" s="250"/>
      <c r="F17" s="180">
        <f t="shared" ref="F17:N17" si="1">F18+F34+F39+F79+F91+F135+F209+F244+F253+F301+F324+F340+F375+F379</f>
        <v>666778.80000000005</v>
      </c>
      <c r="G17" s="180">
        <f t="shared" si="1"/>
        <v>17477.199999999997</v>
      </c>
      <c r="H17" s="180">
        <f t="shared" si="1"/>
        <v>684256.00000000023</v>
      </c>
      <c r="I17" s="181">
        <f t="shared" si="1"/>
        <v>2664747.4000000004</v>
      </c>
      <c r="J17" s="180">
        <f t="shared" si="1"/>
        <v>9081.1</v>
      </c>
      <c r="K17" s="181">
        <f t="shared" si="1"/>
        <v>2673828.5000000005</v>
      </c>
      <c r="L17" s="180">
        <f t="shared" si="1"/>
        <v>3331526.2000000007</v>
      </c>
      <c r="M17" s="180">
        <f t="shared" si="1"/>
        <v>26558.3</v>
      </c>
      <c r="N17" s="180">
        <f t="shared" si="1"/>
        <v>3358084.5</v>
      </c>
      <c r="O17" s="178"/>
      <c r="P17" s="92"/>
    </row>
    <row r="18" spans="1:17" ht="22.15" customHeight="1" x14ac:dyDescent="0.2">
      <c r="A18" s="19" t="s">
        <v>23</v>
      </c>
      <c r="B18" s="182" t="s">
        <v>24</v>
      </c>
      <c r="C18" s="183" t="s">
        <v>25</v>
      </c>
      <c r="D18" s="184" t="s">
        <v>26</v>
      </c>
      <c r="E18" s="185"/>
      <c r="F18" s="186">
        <f t="shared" ref="F18:N18" si="2">F19+F25</f>
        <v>14840.400000000001</v>
      </c>
      <c r="G18" s="186">
        <f t="shared" si="2"/>
        <v>496.4</v>
      </c>
      <c r="H18" s="186">
        <f t="shared" si="2"/>
        <v>15336.800000000003</v>
      </c>
      <c r="I18" s="187">
        <f t="shared" si="2"/>
        <v>556</v>
      </c>
      <c r="J18" s="186">
        <f>J19+J25</f>
        <v>0</v>
      </c>
      <c r="K18" s="187">
        <f t="shared" si="2"/>
        <v>556</v>
      </c>
      <c r="L18" s="186">
        <f t="shared" si="2"/>
        <v>15396.400000000001</v>
      </c>
      <c r="M18" s="186">
        <f t="shared" si="2"/>
        <v>496.4</v>
      </c>
      <c r="N18" s="186">
        <f t="shared" si="2"/>
        <v>15892.800000000003</v>
      </c>
      <c r="O18" s="178"/>
      <c r="P18" s="92"/>
      <c r="Q18" s="25"/>
    </row>
    <row r="19" spans="1:17" ht="47.25" x14ac:dyDescent="0.2">
      <c r="A19" s="42"/>
      <c r="B19" s="168" t="s">
        <v>27</v>
      </c>
      <c r="C19" s="169" t="s">
        <v>28</v>
      </c>
      <c r="D19" s="170" t="s">
        <v>26</v>
      </c>
      <c r="E19" s="171"/>
      <c r="F19" s="172">
        <f>F20+F23</f>
        <v>2346.5</v>
      </c>
      <c r="G19" s="172">
        <f>G20+G23</f>
        <v>301.3</v>
      </c>
      <c r="H19" s="172">
        <f>H20+H23</f>
        <v>2647.8</v>
      </c>
      <c r="I19" s="188">
        <f>I20+I23</f>
        <v>400</v>
      </c>
      <c r="J19" s="189"/>
      <c r="K19" s="188">
        <f>K20+K23</f>
        <v>400</v>
      </c>
      <c r="L19" s="172">
        <f>L20+L23</f>
        <v>2746.5</v>
      </c>
      <c r="M19" s="172">
        <f>M20+M23</f>
        <v>301.3</v>
      </c>
      <c r="N19" s="172">
        <f>N20+N23</f>
        <v>3047.8</v>
      </c>
      <c r="O19" s="178"/>
      <c r="P19" s="92"/>
      <c r="Q19" s="48"/>
    </row>
    <row r="20" spans="1:17" ht="47.25" x14ac:dyDescent="0.2">
      <c r="A20" s="42"/>
      <c r="B20" s="168" t="s">
        <v>29</v>
      </c>
      <c r="C20" s="169" t="s">
        <v>30</v>
      </c>
      <c r="D20" s="170" t="s">
        <v>26</v>
      </c>
      <c r="E20" s="171"/>
      <c r="F20" s="172">
        <v>1571</v>
      </c>
      <c r="G20" s="172">
        <f>SUM(G21)</f>
        <v>301.3</v>
      </c>
      <c r="H20" s="172">
        <f>SUM(F20)+G20</f>
        <v>1872.3</v>
      </c>
      <c r="I20" s="188">
        <f t="shared" ref="I20:N20" si="3">I21+I22</f>
        <v>400</v>
      </c>
      <c r="J20" s="189">
        <f t="shared" si="3"/>
        <v>0</v>
      </c>
      <c r="K20" s="188">
        <f t="shared" si="3"/>
        <v>400</v>
      </c>
      <c r="L20" s="172">
        <f t="shared" si="3"/>
        <v>1971</v>
      </c>
      <c r="M20" s="172">
        <f t="shared" si="3"/>
        <v>301.3</v>
      </c>
      <c r="N20" s="172">
        <f t="shared" si="3"/>
        <v>2272.3000000000002</v>
      </c>
      <c r="O20" s="178"/>
      <c r="P20" s="92"/>
    </row>
    <row r="21" spans="1:17" ht="67.900000000000006" customHeight="1" x14ac:dyDescent="0.2">
      <c r="A21" s="42"/>
      <c r="B21" s="168" t="s">
        <v>31</v>
      </c>
      <c r="C21" s="169" t="s">
        <v>30</v>
      </c>
      <c r="D21" s="170" t="s">
        <v>32</v>
      </c>
      <c r="E21" s="171"/>
      <c r="F21" s="172">
        <v>1500</v>
      </c>
      <c r="G21" s="172">
        <v>301.3</v>
      </c>
      <c r="H21" s="172">
        <f>1500+G21</f>
        <v>1801.3</v>
      </c>
      <c r="I21" s="188">
        <v>288.2</v>
      </c>
      <c r="J21" s="189"/>
      <c r="K21" s="188">
        <f>SUM(I21:J21)</f>
        <v>288.2</v>
      </c>
      <c r="L21" s="172">
        <f t="shared" ref="L21:N22" si="4">F21+I21</f>
        <v>1788.2</v>
      </c>
      <c r="M21" s="172">
        <f t="shared" si="4"/>
        <v>301.3</v>
      </c>
      <c r="N21" s="172">
        <f t="shared" si="4"/>
        <v>2089.5</v>
      </c>
      <c r="O21" s="178"/>
      <c r="P21" s="92"/>
    </row>
    <row r="22" spans="1:17" ht="37.15" customHeight="1" x14ac:dyDescent="0.2">
      <c r="A22" s="42"/>
      <c r="B22" s="168" t="s">
        <v>35</v>
      </c>
      <c r="C22" s="169" t="s">
        <v>30</v>
      </c>
      <c r="D22" s="170" t="s">
        <v>36</v>
      </c>
      <c r="E22" s="171"/>
      <c r="F22" s="172">
        <v>71</v>
      </c>
      <c r="G22" s="172"/>
      <c r="H22" s="172">
        <v>71</v>
      </c>
      <c r="I22" s="188">
        <v>111.8</v>
      </c>
      <c r="J22" s="189"/>
      <c r="K22" s="188">
        <f>SUM(I22:J22)</f>
        <v>111.8</v>
      </c>
      <c r="L22" s="172">
        <f t="shared" si="4"/>
        <v>182.8</v>
      </c>
      <c r="M22" s="172">
        <f t="shared" si="4"/>
        <v>0</v>
      </c>
      <c r="N22" s="172">
        <f t="shared" si="4"/>
        <v>182.8</v>
      </c>
      <c r="O22" s="178"/>
      <c r="P22" s="92"/>
    </row>
    <row r="23" spans="1:17" ht="36" customHeight="1" x14ac:dyDescent="0.2">
      <c r="A23" s="42"/>
      <c r="B23" s="168" t="s">
        <v>33</v>
      </c>
      <c r="C23" s="169" t="s">
        <v>34</v>
      </c>
      <c r="D23" s="170" t="s">
        <v>26</v>
      </c>
      <c r="E23" s="171"/>
      <c r="F23" s="172">
        <f>F24</f>
        <v>775.5</v>
      </c>
      <c r="G23" s="172">
        <f>G24</f>
        <v>0</v>
      </c>
      <c r="H23" s="172">
        <f>H24</f>
        <v>775.5</v>
      </c>
      <c r="I23" s="188">
        <f>I24</f>
        <v>0</v>
      </c>
      <c r="J23" s="189"/>
      <c r="K23" s="188">
        <f>K24</f>
        <v>0</v>
      </c>
      <c r="L23" s="172">
        <f>L24</f>
        <v>775.5</v>
      </c>
      <c r="M23" s="172">
        <f>M24</f>
        <v>0</v>
      </c>
      <c r="N23" s="172">
        <f>N24</f>
        <v>775.5</v>
      </c>
      <c r="O23" s="178"/>
      <c r="P23" s="92"/>
    </row>
    <row r="24" spans="1:17" ht="31.5" x14ac:dyDescent="0.2">
      <c r="A24" s="42"/>
      <c r="B24" s="168" t="s">
        <v>35</v>
      </c>
      <c r="C24" s="169" t="s">
        <v>34</v>
      </c>
      <c r="D24" s="170" t="s">
        <v>36</v>
      </c>
      <c r="E24" s="171"/>
      <c r="F24" s="172">
        <v>775.5</v>
      </c>
      <c r="G24" s="172"/>
      <c r="H24" s="172">
        <f>SUM(F24)</f>
        <v>775.5</v>
      </c>
      <c r="I24" s="188">
        <v>0</v>
      </c>
      <c r="J24" s="189"/>
      <c r="K24" s="188">
        <v>0</v>
      </c>
      <c r="L24" s="172">
        <f>SUM(F24)</f>
        <v>775.5</v>
      </c>
      <c r="M24" s="172">
        <f>SUM(G24)</f>
        <v>0</v>
      </c>
      <c r="N24" s="172">
        <f>SUM(L24)</f>
        <v>775.5</v>
      </c>
      <c r="O24" s="178"/>
      <c r="P24" s="92"/>
    </row>
    <row r="25" spans="1:17" ht="47.25" x14ac:dyDescent="0.2">
      <c r="A25" s="42"/>
      <c r="B25" s="168" t="s">
        <v>37</v>
      </c>
      <c r="C25" s="169" t="s">
        <v>38</v>
      </c>
      <c r="D25" s="170" t="s">
        <v>26</v>
      </c>
      <c r="E25" s="171"/>
      <c r="F25" s="172">
        <f>F26+F30</f>
        <v>12493.900000000001</v>
      </c>
      <c r="G25" s="172">
        <f>G26+G30</f>
        <v>195.1</v>
      </c>
      <c r="H25" s="172">
        <f>H26+H30</f>
        <v>12689.000000000002</v>
      </c>
      <c r="I25" s="188">
        <f>I26+I30+I32</f>
        <v>156</v>
      </c>
      <c r="J25" s="189">
        <f>SUM(J32)</f>
        <v>0</v>
      </c>
      <c r="K25" s="188">
        <f>K26+K30+K32</f>
        <v>156</v>
      </c>
      <c r="L25" s="172">
        <f>L26+L30+L33</f>
        <v>12649.900000000001</v>
      </c>
      <c r="M25" s="172">
        <f>M26+M30+J25</f>
        <v>195.1</v>
      </c>
      <c r="N25" s="172">
        <f>N26+N30+N33</f>
        <v>12845.000000000002</v>
      </c>
      <c r="O25" s="178"/>
      <c r="P25" s="92"/>
    </row>
    <row r="26" spans="1:17" ht="31.5" x14ac:dyDescent="0.2">
      <c r="A26" s="42"/>
      <c r="B26" s="168" t="s">
        <v>39</v>
      </c>
      <c r="C26" s="169" t="s">
        <v>40</v>
      </c>
      <c r="D26" s="170" t="s">
        <v>26</v>
      </c>
      <c r="E26" s="171"/>
      <c r="F26" s="172">
        <f>F27+F28+F29</f>
        <v>11688.800000000001</v>
      </c>
      <c r="G26" s="172">
        <f>G27+G28+G29</f>
        <v>195.1</v>
      </c>
      <c r="H26" s="172">
        <f>H27+H28+H29</f>
        <v>11883.900000000001</v>
      </c>
      <c r="I26" s="188">
        <f>I27+I28+I29</f>
        <v>0</v>
      </c>
      <c r="J26" s="189">
        <f>SUM(I27)+J28</f>
        <v>0</v>
      </c>
      <c r="K26" s="188">
        <f>K27+K28+K29</f>
        <v>0</v>
      </c>
      <c r="L26" s="172">
        <f>L27+L28+L29</f>
        <v>11688.800000000001</v>
      </c>
      <c r="M26" s="172">
        <f>M27+M28+M29</f>
        <v>195.1</v>
      </c>
      <c r="N26" s="172">
        <f>N27+N28+N29</f>
        <v>11883.900000000001</v>
      </c>
      <c r="O26" s="178"/>
      <c r="P26" s="92"/>
    </row>
    <row r="27" spans="1:17" ht="67.900000000000006" customHeight="1" x14ac:dyDescent="0.2">
      <c r="A27" s="42"/>
      <c r="B27" s="168" t="s">
        <v>31</v>
      </c>
      <c r="C27" s="169" t="s">
        <v>40</v>
      </c>
      <c r="D27" s="170" t="s">
        <v>32</v>
      </c>
      <c r="E27" s="171"/>
      <c r="F27" s="172">
        <v>8949.5</v>
      </c>
      <c r="G27" s="172"/>
      <c r="H27" s="172">
        <f>SUM(F27)+G27</f>
        <v>8949.5</v>
      </c>
      <c r="I27" s="188">
        <v>0</v>
      </c>
      <c r="J27" s="189"/>
      <c r="K27" s="188">
        <v>0</v>
      </c>
      <c r="L27" s="172">
        <f>SUM(F27)</f>
        <v>8949.5</v>
      </c>
      <c r="M27" s="172">
        <f>SUM(G27)</f>
        <v>0</v>
      </c>
      <c r="N27" s="172">
        <f>SUM(H27)</f>
        <v>8949.5</v>
      </c>
      <c r="O27" s="178"/>
      <c r="P27" s="92"/>
    </row>
    <row r="28" spans="1:17" ht="31.5" x14ac:dyDescent="0.2">
      <c r="A28" s="42"/>
      <c r="B28" s="168" t="s">
        <v>35</v>
      </c>
      <c r="C28" s="169" t="s">
        <v>40</v>
      </c>
      <c r="D28" s="170" t="s">
        <v>36</v>
      </c>
      <c r="E28" s="171"/>
      <c r="F28" s="172">
        <v>2735.6</v>
      </c>
      <c r="G28" s="172">
        <v>195.1</v>
      </c>
      <c r="H28" s="172">
        <f>SUM(F28)+G28</f>
        <v>2930.7</v>
      </c>
      <c r="I28" s="188">
        <v>0</v>
      </c>
      <c r="J28" s="189"/>
      <c r="K28" s="188">
        <f>SUM(J28)</f>
        <v>0</v>
      </c>
      <c r="L28" s="172">
        <f>SUM(F28)</f>
        <v>2735.6</v>
      </c>
      <c r="M28" s="172">
        <f>SUM(G28+J28)</f>
        <v>195.1</v>
      </c>
      <c r="N28" s="172">
        <f>SUM(H28)</f>
        <v>2930.7</v>
      </c>
      <c r="O28" s="178"/>
      <c r="P28" s="92"/>
    </row>
    <row r="29" spans="1:17" ht="18.75" x14ac:dyDescent="0.2">
      <c r="A29" s="42"/>
      <c r="B29" s="168" t="s">
        <v>41</v>
      </c>
      <c r="C29" s="169" t="s">
        <v>40</v>
      </c>
      <c r="D29" s="170" t="s">
        <v>42</v>
      </c>
      <c r="E29" s="171"/>
      <c r="F29" s="172">
        <v>3.7</v>
      </c>
      <c r="G29" s="172"/>
      <c r="H29" s="172">
        <v>3.7</v>
      </c>
      <c r="I29" s="188">
        <v>0</v>
      </c>
      <c r="J29" s="189"/>
      <c r="K29" s="188">
        <v>0</v>
      </c>
      <c r="L29" s="172">
        <v>3.7</v>
      </c>
      <c r="M29" s="172"/>
      <c r="N29" s="172">
        <v>3.7</v>
      </c>
      <c r="O29" s="178"/>
      <c r="P29" s="92"/>
    </row>
    <row r="30" spans="1:17" ht="31.5" x14ac:dyDescent="0.2">
      <c r="A30" s="42"/>
      <c r="B30" s="168" t="s">
        <v>43</v>
      </c>
      <c r="C30" s="169" t="s">
        <v>44</v>
      </c>
      <c r="D30" s="170" t="s">
        <v>26</v>
      </c>
      <c r="E30" s="171"/>
      <c r="F30" s="172">
        <f>F31</f>
        <v>805.1</v>
      </c>
      <c r="G30" s="172">
        <f>G31</f>
        <v>0</v>
      </c>
      <c r="H30" s="172">
        <f>H31</f>
        <v>805.1</v>
      </c>
      <c r="I30" s="188">
        <f>I31</f>
        <v>0</v>
      </c>
      <c r="J30" s="189"/>
      <c r="K30" s="188">
        <f>K31</f>
        <v>0</v>
      </c>
      <c r="L30" s="172">
        <f>L31</f>
        <v>805.1</v>
      </c>
      <c r="M30" s="172">
        <f>M31</f>
        <v>0</v>
      </c>
      <c r="N30" s="172">
        <f>N31</f>
        <v>805.1</v>
      </c>
      <c r="O30" s="178"/>
      <c r="P30" s="92"/>
    </row>
    <row r="31" spans="1:17" ht="31.5" x14ac:dyDescent="0.2">
      <c r="A31" s="42"/>
      <c r="B31" s="168" t="s">
        <v>35</v>
      </c>
      <c r="C31" s="169" t="s">
        <v>44</v>
      </c>
      <c r="D31" s="170" t="s">
        <v>36</v>
      </c>
      <c r="E31" s="171"/>
      <c r="F31" s="172">
        <v>805.1</v>
      </c>
      <c r="G31" s="172"/>
      <c r="H31" s="172">
        <f>SUM(F31)+G31</f>
        <v>805.1</v>
      </c>
      <c r="I31" s="188">
        <v>0</v>
      </c>
      <c r="J31" s="189"/>
      <c r="K31" s="188">
        <v>0</v>
      </c>
      <c r="L31" s="172">
        <f>SUM(F31)</f>
        <v>805.1</v>
      </c>
      <c r="M31" s="172">
        <f>SUM(G31)</f>
        <v>0</v>
      </c>
      <c r="N31" s="172">
        <f>SUM(H31)</f>
        <v>805.1</v>
      </c>
      <c r="O31" s="178"/>
      <c r="P31" s="92"/>
    </row>
    <row r="32" spans="1:17" ht="63" x14ac:dyDescent="0.2">
      <c r="A32" s="42"/>
      <c r="B32" s="158" t="s">
        <v>45</v>
      </c>
      <c r="C32" s="169" t="s">
        <v>46</v>
      </c>
      <c r="D32" s="170"/>
      <c r="E32" s="171"/>
      <c r="F32" s="172"/>
      <c r="G32" s="172"/>
      <c r="H32" s="172"/>
      <c r="I32" s="188">
        <f>SUM(I33)</f>
        <v>156</v>
      </c>
      <c r="J32" s="189">
        <f>SUM(J33)</f>
        <v>0</v>
      </c>
      <c r="K32" s="188">
        <f>SUM(I32)</f>
        <v>156</v>
      </c>
      <c r="L32" s="172">
        <f>SUM(I32)</f>
        <v>156</v>
      </c>
      <c r="M32" s="172"/>
      <c r="N32" s="172">
        <f>SUM(K32)</f>
        <v>156</v>
      </c>
      <c r="O32" s="178"/>
      <c r="P32" s="92"/>
    </row>
    <row r="33" spans="1:17" ht="31.5" x14ac:dyDescent="0.2">
      <c r="A33" s="42"/>
      <c r="B33" s="168" t="s">
        <v>35</v>
      </c>
      <c r="C33" s="169" t="s">
        <v>46</v>
      </c>
      <c r="D33" s="170" t="s">
        <v>36</v>
      </c>
      <c r="E33" s="171"/>
      <c r="F33" s="172"/>
      <c r="G33" s="172"/>
      <c r="H33" s="172"/>
      <c r="I33" s="188">
        <v>156</v>
      </c>
      <c r="J33" s="189"/>
      <c r="K33" s="188">
        <f>SUM(I33)</f>
        <v>156</v>
      </c>
      <c r="L33" s="172">
        <f>SUM(I33)</f>
        <v>156</v>
      </c>
      <c r="M33" s="172">
        <f>SUM(J33)</f>
        <v>0</v>
      </c>
      <c r="N33" s="172">
        <f>SUM(K33)</f>
        <v>156</v>
      </c>
      <c r="O33" s="178"/>
      <c r="P33" s="92"/>
    </row>
    <row r="34" spans="1:17" ht="31.5" x14ac:dyDescent="0.2">
      <c r="A34" s="19" t="s">
        <v>47</v>
      </c>
      <c r="B34" s="182" t="s">
        <v>48</v>
      </c>
      <c r="C34" s="183" t="s">
        <v>49</v>
      </c>
      <c r="D34" s="184" t="s">
        <v>26</v>
      </c>
      <c r="E34" s="185"/>
      <c r="F34" s="186">
        <f t="shared" ref="F34:N35" si="5">F35</f>
        <v>1813.8</v>
      </c>
      <c r="G34" s="186">
        <f t="shared" si="5"/>
        <v>0</v>
      </c>
      <c r="H34" s="186">
        <f t="shared" si="5"/>
        <v>1813.8</v>
      </c>
      <c r="I34" s="187">
        <f t="shared" si="5"/>
        <v>0</v>
      </c>
      <c r="J34" s="186">
        <f t="shared" si="5"/>
        <v>0</v>
      </c>
      <c r="K34" s="187">
        <f t="shared" si="5"/>
        <v>0</v>
      </c>
      <c r="L34" s="186">
        <f t="shared" si="5"/>
        <v>1813.8</v>
      </c>
      <c r="M34" s="186">
        <f t="shared" si="5"/>
        <v>0</v>
      </c>
      <c r="N34" s="186">
        <f t="shared" si="5"/>
        <v>1813.8</v>
      </c>
      <c r="O34" s="178"/>
      <c r="P34" s="92"/>
    </row>
    <row r="35" spans="1:17" ht="50.45" customHeight="1" x14ac:dyDescent="0.2">
      <c r="A35" s="42"/>
      <c r="B35" s="168" t="s">
        <v>50</v>
      </c>
      <c r="C35" s="169" t="s">
        <v>51</v>
      </c>
      <c r="D35" s="170" t="s">
        <v>26</v>
      </c>
      <c r="E35" s="171"/>
      <c r="F35" s="172">
        <f t="shared" si="5"/>
        <v>1813.8</v>
      </c>
      <c r="G35" s="172">
        <f t="shared" si="5"/>
        <v>0</v>
      </c>
      <c r="H35" s="172">
        <f t="shared" si="5"/>
        <v>1813.8</v>
      </c>
      <c r="I35" s="188">
        <f t="shared" si="5"/>
        <v>0</v>
      </c>
      <c r="J35" s="189"/>
      <c r="K35" s="188">
        <f t="shared" si="5"/>
        <v>0</v>
      </c>
      <c r="L35" s="172">
        <f t="shared" si="5"/>
        <v>1813.8</v>
      </c>
      <c r="M35" s="172">
        <f t="shared" si="5"/>
        <v>0</v>
      </c>
      <c r="N35" s="172">
        <f t="shared" si="5"/>
        <v>1813.8</v>
      </c>
      <c r="O35" s="178"/>
      <c r="P35" s="92"/>
    </row>
    <row r="36" spans="1:17" ht="36.6" customHeight="1" x14ac:dyDescent="0.2">
      <c r="A36" s="42"/>
      <c r="B36" s="168" t="s">
        <v>52</v>
      </c>
      <c r="C36" s="169" t="s">
        <v>53</v>
      </c>
      <c r="D36" s="170" t="s">
        <v>26</v>
      </c>
      <c r="E36" s="171"/>
      <c r="F36" s="172">
        <f>F37+F38</f>
        <v>1813.8</v>
      </c>
      <c r="G36" s="172">
        <f>G37+G38</f>
        <v>0</v>
      </c>
      <c r="H36" s="172">
        <f>H37+H38</f>
        <v>1813.8</v>
      </c>
      <c r="I36" s="188">
        <f>I37+I38</f>
        <v>0</v>
      </c>
      <c r="J36" s="189"/>
      <c r="K36" s="188">
        <f>K37+K38</f>
        <v>0</v>
      </c>
      <c r="L36" s="172">
        <f>L37+L38</f>
        <v>1813.8</v>
      </c>
      <c r="M36" s="172">
        <f>M37+M38</f>
        <v>0</v>
      </c>
      <c r="N36" s="172">
        <f>N37+N38</f>
        <v>1813.8</v>
      </c>
      <c r="O36" s="178"/>
      <c r="P36" s="92"/>
    </row>
    <row r="37" spans="1:17" ht="31.5" x14ac:dyDescent="0.2">
      <c r="A37" s="42"/>
      <c r="B37" s="168" t="s">
        <v>35</v>
      </c>
      <c r="C37" s="169" t="s">
        <v>53</v>
      </c>
      <c r="D37" s="170" t="s">
        <v>36</v>
      </c>
      <c r="E37" s="171"/>
      <c r="F37" s="172">
        <v>300</v>
      </c>
      <c r="G37" s="172"/>
      <c r="H37" s="172">
        <v>300</v>
      </c>
      <c r="I37" s="188"/>
      <c r="J37" s="189"/>
      <c r="K37" s="188"/>
      <c r="L37" s="172">
        <v>300</v>
      </c>
      <c r="M37" s="172"/>
      <c r="N37" s="172">
        <v>300</v>
      </c>
      <c r="O37" s="178"/>
      <c r="P37" s="92"/>
    </row>
    <row r="38" spans="1:17" ht="18.75" x14ac:dyDescent="0.2">
      <c r="A38" s="42"/>
      <c r="B38" s="168" t="s">
        <v>54</v>
      </c>
      <c r="C38" s="169" t="s">
        <v>53</v>
      </c>
      <c r="D38" s="170" t="s">
        <v>55</v>
      </c>
      <c r="E38" s="171"/>
      <c r="F38" s="172">
        <v>1513.8</v>
      </c>
      <c r="G38" s="172"/>
      <c r="H38" s="172">
        <v>1513.8</v>
      </c>
      <c r="I38" s="188"/>
      <c r="J38" s="189"/>
      <c r="K38" s="188"/>
      <c r="L38" s="172">
        <v>1513.8</v>
      </c>
      <c r="M38" s="172"/>
      <c r="N38" s="172">
        <v>1513.8</v>
      </c>
      <c r="O38" s="178"/>
      <c r="P38" s="92"/>
    </row>
    <row r="39" spans="1:17" ht="31.5" x14ac:dyDescent="0.2">
      <c r="A39" s="19" t="s">
        <v>56</v>
      </c>
      <c r="B39" s="182" t="s">
        <v>57</v>
      </c>
      <c r="C39" s="183" t="s">
        <v>58</v>
      </c>
      <c r="D39" s="184" t="s">
        <v>26</v>
      </c>
      <c r="E39" s="185"/>
      <c r="F39" s="186">
        <f t="shared" ref="F39:N39" si="6">F40+F48+F73</f>
        <v>139559.9</v>
      </c>
      <c r="G39" s="186">
        <f>G40+G48+G73</f>
        <v>1910.3999999999999</v>
      </c>
      <c r="H39" s="186">
        <f t="shared" si="6"/>
        <v>141470.30000000002</v>
      </c>
      <c r="I39" s="187">
        <f t="shared" si="6"/>
        <v>22124.100000000002</v>
      </c>
      <c r="J39" s="186">
        <f t="shared" si="6"/>
        <v>0</v>
      </c>
      <c r="K39" s="187">
        <f t="shared" si="6"/>
        <v>22124.100000000002</v>
      </c>
      <c r="L39" s="186">
        <f t="shared" si="6"/>
        <v>161683.99999999997</v>
      </c>
      <c r="M39" s="186">
        <f t="shared" si="6"/>
        <v>1910.3999999999999</v>
      </c>
      <c r="N39" s="186">
        <f t="shared" si="6"/>
        <v>163594.4</v>
      </c>
      <c r="O39" s="178"/>
      <c r="P39" s="92"/>
      <c r="Q39" s="25"/>
    </row>
    <row r="40" spans="1:17" ht="18.75" x14ac:dyDescent="0.2">
      <c r="A40" s="49"/>
      <c r="B40" s="190" t="s">
        <v>59</v>
      </c>
      <c r="C40" s="191" t="s">
        <v>60</v>
      </c>
      <c r="D40" s="192" t="s">
        <v>26</v>
      </c>
      <c r="E40" s="193"/>
      <c r="F40" s="194">
        <f>F41</f>
        <v>6334.3</v>
      </c>
      <c r="G40" s="194">
        <f>G41</f>
        <v>1025.5999999999999</v>
      </c>
      <c r="H40" s="194">
        <f>H41</f>
        <v>7359.9000000000005</v>
      </c>
      <c r="I40" s="195">
        <f>I41</f>
        <v>0</v>
      </c>
      <c r="J40" s="196"/>
      <c r="K40" s="195">
        <f>K41</f>
        <v>0</v>
      </c>
      <c r="L40" s="194">
        <f>L41</f>
        <v>6334.3</v>
      </c>
      <c r="M40" s="194">
        <f>M41</f>
        <v>1025.5999999999999</v>
      </c>
      <c r="N40" s="194">
        <f>N41</f>
        <v>7359.9000000000005</v>
      </c>
      <c r="O40" s="178"/>
      <c r="P40" s="92"/>
    </row>
    <row r="41" spans="1:17" ht="18.75" x14ac:dyDescent="0.2">
      <c r="A41" s="42"/>
      <c r="B41" s="168" t="s">
        <v>61</v>
      </c>
      <c r="C41" s="169" t="s">
        <v>62</v>
      </c>
      <c r="D41" s="170" t="s">
        <v>26</v>
      </c>
      <c r="E41" s="171"/>
      <c r="F41" s="172">
        <f>F42+F44+F46</f>
        <v>6334.3</v>
      </c>
      <c r="G41" s="172">
        <f>G42+G44+G46</f>
        <v>1025.5999999999999</v>
      </c>
      <c r="H41" s="172">
        <f>H42+H44+H46</f>
        <v>7359.9000000000005</v>
      </c>
      <c r="I41" s="188">
        <f>I42+I44+I46</f>
        <v>0</v>
      </c>
      <c r="J41" s="189"/>
      <c r="K41" s="188">
        <f>K42+K44+K46</f>
        <v>0</v>
      </c>
      <c r="L41" s="172">
        <f>L42+L44+L46</f>
        <v>6334.3</v>
      </c>
      <c r="M41" s="172">
        <f>M42+M44+M46</f>
        <v>1025.5999999999999</v>
      </c>
      <c r="N41" s="172">
        <f>N42+N44+N46</f>
        <v>7359.9000000000005</v>
      </c>
      <c r="O41" s="178"/>
      <c r="P41" s="92"/>
    </row>
    <row r="42" spans="1:17" ht="18.75" x14ac:dyDescent="0.2">
      <c r="A42" s="42"/>
      <c r="B42" s="168" t="s">
        <v>63</v>
      </c>
      <c r="C42" s="169" t="s">
        <v>64</v>
      </c>
      <c r="D42" s="170" t="s">
        <v>26</v>
      </c>
      <c r="E42" s="171"/>
      <c r="F42" s="172">
        <f>F43</f>
        <v>6034.3</v>
      </c>
      <c r="G42" s="172">
        <f>G43</f>
        <v>425.6</v>
      </c>
      <c r="H42" s="172">
        <f>H43</f>
        <v>6459.9000000000005</v>
      </c>
      <c r="I42" s="188">
        <f>I43</f>
        <v>0</v>
      </c>
      <c r="J42" s="189"/>
      <c r="K42" s="188">
        <f>K43</f>
        <v>0</v>
      </c>
      <c r="L42" s="172">
        <f>L43</f>
        <v>6034.3</v>
      </c>
      <c r="M42" s="172">
        <f>M43</f>
        <v>425.6</v>
      </c>
      <c r="N42" s="172">
        <f>N43</f>
        <v>6459.9000000000005</v>
      </c>
      <c r="O42" s="178"/>
      <c r="P42" s="92"/>
    </row>
    <row r="43" spans="1:17" ht="31.5" x14ac:dyDescent="0.2">
      <c r="A43" s="42"/>
      <c r="B43" s="168" t="s">
        <v>35</v>
      </c>
      <c r="C43" s="169" t="s">
        <v>64</v>
      </c>
      <c r="D43" s="170" t="s">
        <v>36</v>
      </c>
      <c r="E43" s="171"/>
      <c r="F43" s="172">
        <v>6034.3</v>
      </c>
      <c r="G43" s="172">
        <f>74.4+425.5-74.4+0.1</f>
        <v>425.6</v>
      </c>
      <c r="H43" s="172">
        <f>SUM(F43)+G43</f>
        <v>6459.9000000000005</v>
      </c>
      <c r="I43" s="188">
        <v>0</v>
      </c>
      <c r="J43" s="189"/>
      <c r="K43" s="188">
        <v>0</v>
      </c>
      <c r="L43" s="172">
        <f>SUM(F43)</f>
        <v>6034.3</v>
      </c>
      <c r="M43" s="172">
        <f>SUM(G43)</f>
        <v>425.6</v>
      </c>
      <c r="N43" s="172">
        <f>SUM(L43)+M43</f>
        <v>6459.9000000000005</v>
      </c>
      <c r="O43" s="178"/>
      <c r="P43" s="92"/>
    </row>
    <row r="44" spans="1:17" ht="18.75" x14ac:dyDescent="0.2">
      <c r="A44" s="42"/>
      <c r="B44" s="168" t="s">
        <v>65</v>
      </c>
      <c r="C44" s="169" t="s">
        <v>66</v>
      </c>
      <c r="D44" s="170" t="s">
        <v>26</v>
      </c>
      <c r="E44" s="171"/>
      <c r="F44" s="172">
        <f>F45</f>
        <v>300</v>
      </c>
      <c r="G44" s="172">
        <f>G45</f>
        <v>600</v>
      </c>
      <c r="H44" s="172">
        <f>H45</f>
        <v>900</v>
      </c>
      <c r="I44" s="188">
        <f>I45</f>
        <v>0</v>
      </c>
      <c r="J44" s="189"/>
      <c r="K44" s="188">
        <f>K45</f>
        <v>0</v>
      </c>
      <c r="L44" s="172">
        <f>L45</f>
        <v>300</v>
      </c>
      <c r="M44" s="172">
        <f>M45</f>
        <v>600</v>
      </c>
      <c r="N44" s="172">
        <f>N45</f>
        <v>900</v>
      </c>
      <c r="O44" s="178"/>
      <c r="P44" s="92"/>
    </row>
    <row r="45" spans="1:17" ht="31.5" x14ac:dyDescent="0.2">
      <c r="A45" s="42"/>
      <c r="B45" s="168" t="s">
        <v>35</v>
      </c>
      <c r="C45" s="169" t="s">
        <v>66</v>
      </c>
      <c r="D45" s="170" t="s">
        <v>36</v>
      </c>
      <c r="E45" s="171"/>
      <c r="F45" s="172">
        <v>300</v>
      </c>
      <c r="G45" s="172">
        <v>600</v>
      </c>
      <c r="H45" s="172">
        <f>300+G45</f>
        <v>900</v>
      </c>
      <c r="I45" s="188">
        <v>0</v>
      </c>
      <c r="J45" s="189"/>
      <c r="K45" s="188">
        <v>0</v>
      </c>
      <c r="L45" s="172">
        <v>300</v>
      </c>
      <c r="M45" s="172">
        <f>SUM(G45)</f>
        <v>600</v>
      </c>
      <c r="N45" s="172">
        <f>300+M45</f>
        <v>900</v>
      </c>
      <c r="O45" s="178"/>
      <c r="P45" s="92"/>
    </row>
    <row r="46" spans="1:17" ht="18.75" x14ac:dyDescent="0.2">
      <c r="A46" s="42"/>
      <c r="B46" s="168" t="s">
        <v>67</v>
      </c>
      <c r="C46" s="169" t="s">
        <v>68</v>
      </c>
      <c r="D46" s="170" t="s">
        <v>26</v>
      </c>
      <c r="E46" s="171"/>
      <c r="F46" s="172">
        <f>F47</f>
        <v>0</v>
      </c>
      <c r="G46" s="172">
        <f>G47</f>
        <v>0</v>
      </c>
      <c r="H46" s="172">
        <f>H47</f>
        <v>0</v>
      </c>
      <c r="I46" s="188">
        <f>I47</f>
        <v>0</v>
      </c>
      <c r="J46" s="189"/>
      <c r="K46" s="188">
        <f>K47</f>
        <v>0</v>
      </c>
      <c r="L46" s="172">
        <f>L47</f>
        <v>0</v>
      </c>
      <c r="M46" s="172">
        <f>M47</f>
        <v>0</v>
      </c>
      <c r="N46" s="172">
        <f>N47</f>
        <v>0</v>
      </c>
      <c r="O46" s="178"/>
      <c r="P46" s="92"/>
    </row>
    <row r="47" spans="1:17" ht="31.5" x14ac:dyDescent="0.2">
      <c r="A47" s="42"/>
      <c r="B47" s="168" t="s">
        <v>35</v>
      </c>
      <c r="C47" s="169" t="s">
        <v>68</v>
      </c>
      <c r="D47" s="170" t="s">
        <v>36</v>
      </c>
      <c r="E47" s="171"/>
      <c r="F47" s="172"/>
      <c r="G47" s="172"/>
      <c r="H47" s="172"/>
      <c r="I47" s="188">
        <v>0</v>
      </c>
      <c r="J47" s="189"/>
      <c r="K47" s="188">
        <v>0</v>
      </c>
      <c r="L47" s="172"/>
      <c r="M47" s="172"/>
      <c r="N47" s="172"/>
      <c r="O47" s="178"/>
      <c r="P47" s="92"/>
    </row>
    <row r="48" spans="1:17" ht="47.25" x14ac:dyDescent="0.2">
      <c r="A48" s="49"/>
      <c r="B48" s="190" t="s">
        <v>69</v>
      </c>
      <c r="C48" s="191" t="s">
        <v>70</v>
      </c>
      <c r="D48" s="192" t="s">
        <v>26</v>
      </c>
      <c r="E48" s="193"/>
      <c r="F48" s="194">
        <f t="shared" ref="F48:N48" si="7">F49+F68</f>
        <v>131135</v>
      </c>
      <c r="G48" s="194">
        <f t="shared" si="7"/>
        <v>884.8</v>
      </c>
      <c r="H48" s="194">
        <f t="shared" si="7"/>
        <v>132019.80000000002</v>
      </c>
      <c r="I48" s="195">
        <f t="shared" si="7"/>
        <v>22124.100000000002</v>
      </c>
      <c r="J48" s="194">
        <f t="shared" si="7"/>
        <v>0</v>
      </c>
      <c r="K48" s="195">
        <f t="shared" si="7"/>
        <v>22124.100000000002</v>
      </c>
      <c r="L48" s="194">
        <f t="shared" si="7"/>
        <v>153259.09999999998</v>
      </c>
      <c r="M48" s="194">
        <f t="shared" si="7"/>
        <v>884.8</v>
      </c>
      <c r="N48" s="194">
        <f t="shared" si="7"/>
        <v>154143.9</v>
      </c>
      <c r="O48" s="178"/>
      <c r="P48" s="92"/>
      <c r="Q48" s="55"/>
    </row>
    <row r="49" spans="1:17" ht="36.6" customHeight="1" x14ac:dyDescent="0.2">
      <c r="A49" s="42"/>
      <c r="B49" s="168" t="s">
        <v>71</v>
      </c>
      <c r="C49" s="169" t="s">
        <v>72</v>
      </c>
      <c r="D49" s="170" t="s">
        <v>26</v>
      </c>
      <c r="E49" s="171"/>
      <c r="F49" s="172">
        <f>F50+F59+F63+F65+F57</f>
        <v>120418.49999999999</v>
      </c>
      <c r="G49" s="172">
        <f>G50+G59+G63+G65+G57+G55</f>
        <v>884.8</v>
      </c>
      <c r="H49" s="172">
        <f>H50+H59+H63+H65+H57+H55</f>
        <v>121303.30000000002</v>
      </c>
      <c r="I49" s="172">
        <f>I50+I59+I63+I65+I57+I61</f>
        <v>22124.100000000002</v>
      </c>
      <c r="J49" s="172">
        <f>SUM(J57)+J50+J59+J61</f>
        <v>0</v>
      </c>
      <c r="K49" s="172">
        <f>K50+K59+K63+K65+K57+K61</f>
        <v>22124.100000000002</v>
      </c>
      <c r="L49" s="172">
        <f>L50+L59+L63+L65+L57+L61</f>
        <v>142542.59999999998</v>
      </c>
      <c r="M49" s="172">
        <f>M50+M59+M63+M65+M57+M55</f>
        <v>884.8</v>
      </c>
      <c r="N49" s="172">
        <f>N50+N59+N63+N65+N57+N61+N55</f>
        <v>143427.4</v>
      </c>
      <c r="O49" s="178"/>
      <c r="P49" s="92"/>
      <c r="Q49" s="48"/>
    </row>
    <row r="50" spans="1:17" ht="31.5" x14ac:dyDescent="0.2">
      <c r="A50" s="42"/>
      <c r="B50" s="168" t="s">
        <v>39</v>
      </c>
      <c r="C50" s="169" t="s">
        <v>73</v>
      </c>
      <c r="D50" s="170" t="s">
        <v>26</v>
      </c>
      <c r="E50" s="171"/>
      <c r="F50" s="172">
        <f>SUM(F53+F54+F52)+F51</f>
        <v>115445</v>
      </c>
      <c r="G50" s="172">
        <f>G51+G52+G53+G54</f>
        <v>-66.099999999999994</v>
      </c>
      <c r="H50" s="172">
        <f>H51+H52+H53+H54</f>
        <v>115378.90000000001</v>
      </c>
      <c r="I50" s="188">
        <f>I51+I52+I53+I54</f>
        <v>16215.400000000001</v>
      </c>
      <c r="J50" s="189">
        <f>SUM(J53+J51)</f>
        <v>0</v>
      </c>
      <c r="K50" s="188">
        <f>K51+K52+K53+K54</f>
        <v>16215.400000000001</v>
      </c>
      <c r="L50" s="172">
        <f>L51+L52+L53+L54</f>
        <v>131660.4</v>
      </c>
      <c r="M50" s="172">
        <f>M51+M52+M53+M54</f>
        <v>-66.099999999999994</v>
      </c>
      <c r="N50" s="172">
        <f>N51+N52+N53+N54</f>
        <v>131594.30000000002</v>
      </c>
      <c r="O50" s="178"/>
      <c r="P50" s="92"/>
    </row>
    <row r="51" spans="1:17" ht="64.150000000000006" customHeight="1" x14ac:dyDescent="0.2">
      <c r="A51" s="42"/>
      <c r="B51" s="168" t="s">
        <v>31</v>
      </c>
      <c r="C51" s="169" t="s">
        <v>73</v>
      </c>
      <c r="D51" s="170" t="s">
        <v>32</v>
      </c>
      <c r="E51" s="171"/>
      <c r="F51" s="172">
        <f>20290.4+351.1</f>
        <v>20641.5</v>
      </c>
      <c r="G51" s="172">
        <f>-3.5-1+217.4-5.5</f>
        <v>207.4</v>
      </c>
      <c r="H51" s="172">
        <f>20290.4+351.1+G51</f>
        <v>20848.900000000001</v>
      </c>
      <c r="I51" s="188">
        <v>2756.8</v>
      </c>
      <c r="J51" s="189"/>
      <c r="K51" s="188">
        <f>SUM(I51)</f>
        <v>2756.8</v>
      </c>
      <c r="L51" s="172">
        <f>20290.4+351.1+I51</f>
        <v>23398.3</v>
      </c>
      <c r="M51" s="172">
        <f>SUM(G51)</f>
        <v>207.4</v>
      </c>
      <c r="N51" s="172">
        <f>20290.4+351.1+K51+M51</f>
        <v>23605.7</v>
      </c>
      <c r="O51" s="178"/>
      <c r="P51" s="92"/>
    </row>
    <row r="52" spans="1:17" ht="31.5" x14ac:dyDescent="0.2">
      <c r="A52" s="42"/>
      <c r="B52" s="168" t="s">
        <v>35</v>
      </c>
      <c r="C52" s="169" t="s">
        <v>73</v>
      </c>
      <c r="D52" s="170" t="s">
        <v>36</v>
      </c>
      <c r="E52" s="171"/>
      <c r="F52" s="172">
        <v>6910.7</v>
      </c>
      <c r="G52" s="172">
        <f>-600+236+5.5+80.5</f>
        <v>-278</v>
      </c>
      <c r="H52" s="172">
        <f>SUM(F52)+G52</f>
        <v>6632.7</v>
      </c>
      <c r="I52" s="188">
        <v>0</v>
      </c>
      <c r="J52" s="189"/>
      <c r="K52" s="188">
        <v>0</v>
      </c>
      <c r="L52" s="172">
        <f>SUM(F52)</f>
        <v>6910.7</v>
      </c>
      <c r="M52" s="172">
        <f>SUM(G52)</f>
        <v>-278</v>
      </c>
      <c r="N52" s="172">
        <f>SUM(H52)</f>
        <v>6632.7</v>
      </c>
      <c r="O52" s="178"/>
      <c r="P52" s="92"/>
    </row>
    <row r="53" spans="1:17" ht="31.5" x14ac:dyDescent="0.2">
      <c r="A53" s="42"/>
      <c r="B53" s="168" t="s">
        <v>74</v>
      </c>
      <c r="C53" s="169" t="s">
        <v>73</v>
      </c>
      <c r="D53" s="170" t="s">
        <v>75</v>
      </c>
      <c r="E53" s="171"/>
      <c r="F53" s="172">
        <f>86661+1213.2</f>
        <v>87874.2</v>
      </c>
      <c r="G53" s="172"/>
      <c r="H53" s="172">
        <f>86661+1213.2</f>
        <v>87874.2</v>
      </c>
      <c r="I53" s="188">
        <v>13458.6</v>
      </c>
      <c r="J53" s="189"/>
      <c r="K53" s="188">
        <f>SUM(I53)</f>
        <v>13458.6</v>
      </c>
      <c r="L53" s="172">
        <f>86661+1213.2+I53</f>
        <v>101332.8</v>
      </c>
      <c r="M53" s="172">
        <f>SUM(J53)</f>
        <v>0</v>
      </c>
      <c r="N53" s="172">
        <f>86661+1213.2+K53</f>
        <v>101332.8</v>
      </c>
      <c r="O53" s="178"/>
      <c r="P53" s="92"/>
    </row>
    <row r="54" spans="1:17" ht="18.75" x14ac:dyDescent="0.2">
      <c r="A54" s="42"/>
      <c r="B54" s="168" t="s">
        <v>41</v>
      </c>
      <c r="C54" s="169" t="s">
        <v>73</v>
      </c>
      <c r="D54" s="170" t="s">
        <v>42</v>
      </c>
      <c r="E54" s="171"/>
      <c r="F54" s="172">
        <v>18.600000000000001</v>
      </c>
      <c r="G54" s="172">
        <f>3.5+1</f>
        <v>4.5</v>
      </c>
      <c r="H54" s="172">
        <f>18.6+G54</f>
        <v>23.1</v>
      </c>
      <c r="I54" s="188">
        <v>0</v>
      </c>
      <c r="J54" s="189"/>
      <c r="K54" s="188">
        <v>0</v>
      </c>
      <c r="L54" s="172">
        <v>18.600000000000001</v>
      </c>
      <c r="M54" s="172">
        <f>SUM(G54)</f>
        <v>4.5</v>
      </c>
      <c r="N54" s="172">
        <f>18.6+M54</f>
        <v>23.1</v>
      </c>
      <c r="O54" s="178"/>
      <c r="P54" s="92"/>
    </row>
    <row r="55" spans="1:17" ht="31.5" x14ac:dyDescent="0.2">
      <c r="A55" s="42"/>
      <c r="B55" s="168" t="s">
        <v>211</v>
      </c>
      <c r="C55" s="169" t="s">
        <v>495</v>
      </c>
      <c r="D55" s="170"/>
      <c r="E55" s="171"/>
      <c r="F55" s="172"/>
      <c r="G55" s="172">
        <v>523.29999999999995</v>
      </c>
      <c r="H55" s="172">
        <f>SUM(G55)</f>
        <v>523.29999999999995</v>
      </c>
      <c r="I55" s="188"/>
      <c r="J55" s="189"/>
      <c r="K55" s="188"/>
      <c r="L55" s="172"/>
      <c r="M55" s="172">
        <f>SUM(G55)</f>
        <v>523.29999999999995</v>
      </c>
      <c r="N55" s="172">
        <v>523.29999999999995</v>
      </c>
      <c r="O55" s="178"/>
      <c r="P55" s="92"/>
    </row>
    <row r="56" spans="1:17" ht="31.5" x14ac:dyDescent="0.2">
      <c r="A56" s="42"/>
      <c r="B56" s="168" t="s">
        <v>74</v>
      </c>
      <c r="C56" s="169" t="s">
        <v>495</v>
      </c>
      <c r="D56" s="170" t="s">
        <v>75</v>
      </c>
      <c r="E56" s="171"/>
      <c r="F56" s="172"/>
      <c r="G56" s="172">
        <v>523.29999999999995</v>
      </c>
      <c r="H56" s="172">
        <v>523.29999999999995</v>
      </c>
      <c r="I56" s="188"/>
      <c r="J56" s="189"/>
      <c r="K56" s="188"/>
      <c r="L56" s="172"/>
      <c r="M56" s="172">
        <f>SUM(G56)</f>
        <v>523.29999999999995</v>
      </c>
      <c r="N56" s="172">
        <v>523.29999999999995</v>
      </c>
      <c r="O56" s="178"/>
      <c r="P56" s="92"/>
    </row>
    <row r="57" spans="1:17" ht="42.75" customHeight="1" x14ac:dyDescent="0.2">
      <c r="A57" s="42"/>
      <c r="B57" s="197" t="s">
        <v>76</v>
      </c>
      <c r="C57" s="169" t="s">
        <v>77</v>
      </c>
      <c r="D57" s="170"/>
      <c r="E57" s="171"/>
      <c r="F57" s="172">
        <f>SUM(F58)</f>
        <v>2278.9</v>
      </c>
      <c r="G57" s="172">
        <f>SUM(G58)</f>
        <v>427.7</v>
      </c>
      <c r="H57" s="172">
        <f>SUM(F57)+G57</f>
        <v>2706.6</v>
      </c>
      <c r="I57" s="188">
        <f>SUM(I58)</f>
        <v>0</v>
      </c>
      <c r="J57" s="189">
        <f>SUM(J58)</f>
        <v>0</v>
      </c>
      <c r="K57" s="188">
        <f>SUM(K58)</f>
        <v>0</v>
      </c>
      <c r="L57" s="172">
        <f>SUM(L58)</f>
        <v>2278.9</v>
      </c>
      <c r="M57" s="172">
        <f>SUM(J57)+G57</f>
        <v>427.7</v>
      </c>
      <c r="N57" s="172">
        <f>SUM(N58)</f>
        <v>2706.6</v>
      </c>
      <c r="O57" s="178"/>
      <c r="P57" s="92"/>
    </row>
    <row r="58" spans="1:17" ht="31.5" x14ac:dyDescent="0.2">
      <c r="A58" s="42"/>
      <c r="B58" s="168" t="s">
        <v>74</v>
      </c>
      <c r="C58" s="169" t="s">
        <v>77</v>
      </c>
      <c r="D58" s="170" t="s">
        <v>75</v>
      </c>
      <c r="E58" s="171"/>
      <c r="F58" s="172">
        <v>2278.9</v>
      </c>
      <c r="G58" s="172">
        <v>427.7</v>
      </c>
      <c r="H58" s="172">
        <f>SUM(F58)+G58</f>
        <v>2706.6</v>
      </c>
      <c r="I58" s="188">
        <v>0</v>
      </c>
      <c r="J58" s="189"/>
      <c r="K58" s="188">
        <f>SUM(I58)+J58</f>
        <v>0</v>
      </c>
      <c r="L58" s="172">
        <f>SUM(F58+I58)</f>
        <v>2278.9</v>
      </c>
      <c r="M58" s="172">
        <f>SUM(J58)+G58</f>
        <v>427.7</v>
      </c>
      <c r="N58" s="172">
        <f>SUM(K58)+H58</f>
        <v>2706.6</v>
      </c>
      <c r="O58" s="178"/>
      <c r="P58" s="92"/>
    </row>
    <row r="59" spans="1:17" ht="36" customHeight="1" x14ac:dyDescent="0.2">
      <c r="A59" s="42"/>
      <c r="B59" s="168" t="s">
        <v>78</v>
      </c>
      <c r="C59" s="169" t="s">
        <v>79</v>
      </c>
      <c r="D59" s="170" t="s">
        <v>26</v>
      </c>
      <c r="E59" s="171"/>
      <c r="F59" s="172">
        <f t="shared" ref="F59:N59" si="8">F60</f>
        <v>1814</v>
      </c>
      <c r="G59" s="172">
        <f t="shared" si="8"/>
        <v>0</v>
      </c>
      <c r="H59" s="172">
        <f t="shared" si="8"/>
        <v>1814</v>
      </c>
      <c r="I59" s="188">
        <f t="shared" si="8"/>
        <v>0</v>
      </c>
      <c r="J59" s="189">
        <f t="shared" si="8"/>
        <v>0</v>
      </c>
      <c r="K59" s="188">
        <f t="shared" si="8"/>
        <v>0</v>
      </c>
      <c r="L59" s="172">
        <f t="shared" si="8"/>
        <v>1814</v>
      </c>
      <c r="M59" s="172">
        <f t="shared" si="8"/>
        <v>0</v>
      </c>
      <c r="N59" s="172">
        <f t="shared" si="8"/>
        <v>1814</v>
      </c>
      <c r="O59" s="178"/>
      <c r="P59" s="92"/>
    </row>
    <row r="60" spans="1:17" ht="31.5" x14ac:dyDescent="0.2">
      <c r="A60" s="42"/>
      <c r="B60" s="168" t="s">
        <v>74</v>
      </c>
      <c r="C60" s="169" t="s">
        <v>79</v>
      </c>
      <c r="D60" s="170" t="s">
        <v>75</v>
      </c>
      <c r="E60" s="171"/>
      <c r="F60" s="172">
        <v>1814</v>
      </c>
      <c r="G60" s="172"/>
      <c r="H60" s="172">
        <f>SUM(F60)+G60</f>
        <v>1814</v>
      </c>
      <c r="I60" s="188">
        <v>0</v>
      </c>
      <c r="J60" s="189"/>
      <c r="K60" s="188">
        <f>SUM(I60:J60)</f>
        <v>0</v>
      </c>
      <c r="L60" s="172">
        <f>SUM(F60)</f>
        <v>1814</v>
      </c>
      <c r="M60" s="172">
        <f>G60+J60</f>
        <v>0</v>
      </c>
      <c r="N60" s="172">
        <f>SUM(L60)+M60</f>
        <v>1814</v>
      </c>
      <c r="O60" s="178"/>
      <c r="P60" s="92"/>
    </row>
    <row r="61" spans="1:17" ht="63" x14ac:dyDescent="0.2">
      <c r="A61" s="42"/>
      <c r="B61" s="168" t="s">
        <v>484</v>
      </c>
      <c r="C61" s="169" t="s">
        <v>483</v>
      </c>
      <c r="D61" s="170" t="s">
        <v>26</v>
      </c>
      <c r="E61" s="171"/>
      <c r="F61" s="172"/>
      <c r="G61" s="172"/>
      <c r="H61" s="172"/>
      <c r="I61" s="188">
        <v>500</v>
      </c>
      <c r="J61" s="189">
        <f>J62</f>
        <v>0</v>
      </c>
      <c r="K61" s="189">
        <f>K62</f>
        <v>500</v>
      </c>
      <c r="L61" s="172">
        <f>F61+I61</f>
        <v>500</v>
      </c>
      <c r="M61" s="172">
        <f>G61+J61</f>
        <v>0</v>
      </c>
      <c r="N61" s="172">
        <f>N62</f>
        <v>500</v>
      </c>
      <c r="O61" s="178"/>
      <c r="P61" s="92"/>
    </row>
    <row r="62" spans="1:17" ht="31.5" x14ac:dyDescent="0.2">
      <c r="A62" s="42"/>
      <c r="B62" s="168" t="s">
        <v>74</v>
      </c>
      <c r="C62" s="169" t="s">
        <v>483</v>
      </c>
      <c r="D62" s="170" t="s">
        <v>75</v>
      </c>
      <c r="E62" s="171"/>
      <c r="F62" s="172"/>
      <c r="G62" s="172"/>
      <c r="H62" s="172"/>
      <c r="I62" s="188">
        <v>500</v>
      </c>
      <c r="J62" s="189"/>
      <c r="K62" s="188">
        <f>SUM(I62:J62)</f>
        <v>500</v>
      </c>
      <c r="L62" s="172">
        <f>F62+I62</f>
        <v>500</v>
      </c>
      <c r="M62" s="172">
        <f>G62+J62</f>
        <v>0</v>
      </c>
      <c r="N62" s="172">
        <f>SUM(L62:M62)</f>
        <v>500</v>
      </c>
      <c r="O62" s="178"/>
      <c r="P62" s="92"/>
    </row>
    <row r="63" spans="1:17" ht="33" customHeight="1" x14ac:dyDescent="0.2">
      <c r="A63" s="42"/>
      <c r="B63" s="168" t="s">
        <v>80</v>
      </c>
      <c r="C63" s="169" t="s">
        <v>81</v>
      </c>
      <c r="D63" s="170" t="s">
        <v>26</v>
      </c>
      <c r="E63" s="171"/>
      <c r="F63" s="172">
        <f>F64</f>
        <v>626.20000000000005</v>
      </c>
      <c r="G63" s="172">
        <f>G64</f>
        <v>-0.1</v>
      </c>
      <c r="H63" s="172">
        <f>H64</f>
        <v>626.1</v>
      </c>
      <c r="I63" s="188">
        <f>I64</f>
        <v>3846.2</v>
      </c>
      <c r="J63" s="189"/>
      <c r="K63" s="188">
        <f>K64</f>
        <v>3846.2</v>
      </c>
      <c r="L63" s="172">
        <f>L64</f>
        <v>4472.3999999999996</v>
      </c>
      <c r="M63" s="172">
        <f>M64</f>
        <v>-0.1</v>
      </c>
      <c r="N63" s="172">
        <f>N64</f>
        <v>4472.2999999999993</v>
      </c>
      <c r="O63" s="178"/>
      <c r="P63" s="92"/>
    </row>
    <row r="64" spans="1:17" ht="31.5" x14ac:dyDescent="0.2">
      <c r="A64" s="42"/>
      <c r="B64" s="168" t="s">
        <v>74</v>
      </c>
      <c r="C64" s="169" t="s">
        <v>81</v>
      </c>
      <c r="D64" s="170" t="s">
        <v>75</v>
      </c>
      <c r="E64" s="171"/>
      <c r="F64" s="172">
        <v>626.20000000000005</v>
      </c>
      <c r="G64" s="172">
        <v>-0.1</v>
      </c>
      <c r="H64" s="172">
        <f>626.2+G64</f>
        <v>626.1</v>
      </c>
      <c r="I64" s="188">
        <v>3846.2</v>
      </c>
      <c r="J64" s="189"/>
      <c r="K64" s="188">
        <v>3846.2</v>
      </c>
      <c r="L64" s="172">
        <f>626.2+I64</f>
        <v>4472.3999999999996</v>
      </c>
      <c r="M64" s="172">
        <f>SUM(G64)</f>
        <v>-0.1</v>
      </c>
      <c r="N64" s="172">
        <f>626.2+K64+M64</f>
        <v>4472.2999999999993</v>
      </c>
      <c r="O64" s="178"/>
      <c r="P64" s="92"/>
    </row>
    <row r="65" spans="1:16" ht="18.75" x14ac:dyDescent="0.2">
      <c r="A65" s="42"/>
      <c r="B65" s="168" t="s">
        <v>82</v>
      </c>
      <c r="C65" s="169" t="s">
        <v>83</v>
      </c>
      <c r="D65" s="170"/>
      <c r="E65" s="171"/>
      <c r="F65" s="172">
        <v>254.4</v>
      </c>
      <c r="G65" s="172"/>
      <c r="H65" s="172">
        <v>254.4</v>
      </c>
      <c r="I65" s="188">
        <v>1562.5</v>
      </c>
      <c r="J65" s="189"/>
      <c r="K65" s="188">
        <v>1562.5</v>
      </c>
      <c r="L65" s="172">
        <f>254.4+I65</f>
        <v>1816.9</v>
      </c>
      <c r="M65" s="172"/>
      <c r="N65" s="172">
        <f>254.4+K65</f>
        <v>1816.9</v>
      </c>
      <c r="O65" s="178"/>
      <c r="P65" s="92"/>
    </row>
    <row r="66" spans="1:16" ht="21" customHeight="1" x14ac:dyDescent="0.2">
      <c r="A66" s="42"/>
      <c r="B66" s="168" t="s">
        <v>84</v>
      </c>
      <c r="C66" s="169" t="s">
        <v>85</v>
      </c>
      <c r="D66" s="170"/>
      <c r="E66" s="171"/>
      <c r="F66" s="172">
        <v>254.4</v>
      </c>
      <c r="G66" s="172"/>
      <c r="H66" s="172">
        <v>254.4</v>
      </c>
      <c r="I66" s="188">
        <v>1562.5</v>
      </c>
      <c r="J66" s="189"/>
      <c r="K66" s="188">
        <v>1562.5</v>
      </c>
      <c r="L66" s="172">
        <f>254.4+I66</f>
        <v>1816.9</v>
      </c>
      <c r="M66" s="172"/>
      <c r="N66" s="172">
        <f>254.4+K66</f>
        <v>1816.9</v>
      </c>
      <c r="O66" s="178"/>
      <c r="P66" s="92"/>
    </row>
    <row r="67" spans="1:16" ht="31.5" x14ac:dyDescent="0.2">
      <c r="A67" s="42"/>
      <c r="B67" s="168" t="s">
        <v>74</v>
      </c>
      <c r="C67" s="169" t="s">
        <v>83</v>
      </c>
      <c r="D67" s="170" t="s">
        <v>75</v>
      </c>
      <c r="E67" s="171"/>
      <c r="F67" s="172">
        <v>254.4</v>
      </c>
      <c r="G67" s="172"/>
      <c r="H67" s="172">
        <v>254.4</v>
      </c>
      <c r="I67" s="188">
        <v>1562.5</v>
      </c>
      <c r="J67" s="189"/>
      <c r="K67" s="188">
        <v>1562.5</v>
      </c>
      <c r="L67" s="172">
        <f>254.4+I67</f>
        <v>1816.9</v>
      </c>
      <c r="M67" s="172"/>
      <c r="N67" s="172">
        <f>254.4+K67</f>
        <v>1816.9</v>
      </c>
      <c r="O67" s="178"/>
      <c r="P67" s="92"/>
    </row>
    <row r="68" spans="1:16" ht="36" customHeight="1" x14ac:dyDescent="0.2">
      <c r="A68" s="42"/>
      <c r="B68" s="168" t="s">
        <v>86</v>
      </c>
      <c r="C68" s="169" t="s">
        <v>87</v>
      </c>
      <c r="D68" s="170" t="s">
        <v>26</v>
      </c>
      <c r="E68" s="171"/>
      <c r="F68" s="172">
        <f>F69</f>
        <v>10716.5</v>
      </c>
      <c r="G68" s="172">
        <f>G69</f>
        <v>0</v>
      </c>
      <c r="H68" s="172">
        <f>H69</f>
        <v>10716.5</v>
      </c>
      <c r="I68" s="188">
        <f>I69</f>
        <v>0</v>
      </c>
      <c r="J68" s="189"/>
      <c r="K68" s="188">
        <f>K69</f>
        <v>0</v>
      </c>
      <c r="L68" s="172">
        <f>L69</f>
        <v>10716.5</v>
      </c>
      <c r="M68" s="172">
        <f>M69</f>
        <v>0</v>
      </c>
      <c r="N68" s="172">
        <f>N69</f>
        <v>10716.5</v>
      </c>
      <c r="O68" s="178"/>
      <c r="P68" s="92"/>
    </row>
    <row r="69" spans="1:16" ht="31.5" x14ac:dyDescent="0.2">
      <c r="A69" s="42"/>
      <c r="B69" s="168" t="s">
        <v>39</v>
      </c>
      <c r="C69" s="169" t="s">
        <v>88</v>
      </c>
      <c r="D69" s="170" t="s">
        <v>26</v>
      </c>
      <c r="E69" s="171"/>
      <c r="F69" s="172">
        <f>F70+F71+F72</f>
        <v>10716.5</v>
      </c>
      <c r="G69" s="172">
        <f>G70+G71+G72</f>
        <v>0</v>
      </c>
      <c r="H69" s="172">
        <f>H70+H71+H72</f>
        <v>10716.5</v>
      </c>
      <c r="I69" s="188">
        <f>I70+I71+I72</f>
        <v>0</v>
      </c>
      <c r="J69" s="189"/>
      <c r="K69" s="188">
        <f>K70+K71+K72</f>
        <v>0</v>
      </c>
      <c r="L69" s="172">
        <f>L70+L71+L72</f>
        <v>10716.5</v>
      </c>
      <c r="M69" s="172">
        <f>M70+M71+M72</f>
        <v>0</v>
      </c>
      <c r="N69" s="172">
        <f>N70+N71+N72</f>
        <v>10716.5</v>
      </c>
      <c r="O69" s="178"/>
      <c r="P69" s="92"/>
    </row>
    <row r="70" spans="1:16" ht="70.150000000000006" customHeight="1" x14ac:dyDescent="0.2">
      <c r="A70" s="42"/>
      <c r="B70" s="168" t="s">
        <v>31</v>
      </c>
      <c r="C70" s="169" t="s">
        <v>88</v>
      </c>
      <c r="D70" s="170" t="s">
        <v>32</v>
      </c>
      <c r="E70" s="171"/>
      <c r="F70" s="172">
        <v>9288.5</v>
      </c>
      <c r="G70" s="172"/>
      <c r="H70" s="172">
        <f>SUM(F70)+G70</f>
        <v>9288.5</v>
      </c>
      <c r="I70" s="188">
        <v>0</v>
      </c>
      <c r="J70" s="189"/>
      <c r="K70" s="188">
        <v>0</v>
      </c>
      <c r="L70" s="172">
        <f t="shared" ref="L70:N71" si="9">SUM(F70)</f>
        <v>9288.5</v>
      </c>
      <c r="M70" s="172">
        <f t="shared" si="9"/>
        <v>0</v>
      </c>
      <c r="N70" s="172">
        <f t="shared" si="9"/>
        <v>9288.5</v>
      </c>
      <c r="O70" s="178"/>
      <c r="P70" s="92"/>
    </row>
    <row r="71" spans="1:16" ht="31.5" x14ac:dyDescent="0.2">
      <c r="A71" s="42"/>
      <c r="B71" s="168" t="s">
        <v>35</v>
      </c>
      <c r="C71" s="169" t="s">
        <v>88</v>
      </c>
      <c r="D71" s="170" t="s">
        <v>36</v>
      </c>
      <c r="E71" s="171"/>
      <c r="F71" s="172">
        <v>1426.9</v>
      </c>
      <c r="G71" s="172"/>
      <c r="H71" s="172">
        <f>SUM(F71)</f>
        <v>1426.9</v>
      </c>
      <c r="I71" s="188">
        <v>0</v>
      </c>
      <c r="J71" s="189"/>
      <c r="K71" s="188">
        <v>0</v>
      </c>
      <c r="L71" s="172">
        <f t="shared" si="9"/>
        <v>1426.9</v>
      </c>
      <c r="M71" s="172">
        <f t="shared" si="9"/>
        <v>0</v>
      </c>
      <c r="N71" s="172">
        <f t="shared" si="9"/>
        <v>1426.9</v>
      </c>
      <c r="O71" s="178"/>
      <c r="P71" s="92"/>
    </row>
    <row r="72" spans="1:16" ht="18.75" x14ac:dyDescent="0.2">
      <c r="A72" s="42"/>
      <c r="B72" s="168" t="s">
        <v>41</v>
      </c>
      <c r="C72" s="169" t="s">
        <v>88</v>
      </c>
      <c r="D72" s="170" t="s">
        <v>42</v>
      </c>
      <c r="E72" s="171"/>
      <c r="F72" s="172">
        <v>1.1000000000000001</v>
      </c>
      <c r="G72" s="172"/>
      <c r="H72" s="172">
        <v>1.1000000000000001</v>
      </c>
      <c r="I72" s="188">
        <v>0</v>
      </c>
      <c r="J72" s="189"/>
      <c r="K72" s="188">
        <v>0</v>
      </c>
      <c r="L72" s="172">
        <v>1.1000000000000001</v>
      </c>
      <c r="M72" s="172"/>
      <c r="N72" s="172">
        <v>1.1000000000000001</v>
      </c>
      <c r="O72" s="178"/>
      <c r="P72" s="92"/>
    </row>
    <row r="73" spans="1:16" ht="31.5" x14ac:dyDescent="0.2">
      <c r="A73" s="49"/>
      <c r="B73" s="190" t="s">
        <v>89</v>
      </c>
      <c r="C73" s="191" t="s">
        <v>90</v>
      </c>
      <c r="D73" s="192" t="s">
        <v>26</v>
      </c>
      <c r="E73" s="193"/>
      <c r="F73" s="194">
        <f t="shared" ref="F73:N74" si="10">F74</f>
        <v>2090.6</v>
      </c>
      <c r="G73" s="194">
        <f t="shared" si="10"/>
        <v>0</v>
      </c>
      <c r="H73" s="194">
        <f t="shared" si="10"/>
        <v>2090.6</v>
      </c>
      <c r="I73" s="195">
        <f t="shared" si="10"/>
        <v>0</v>
      </c>
      <c r="J73" s="194">
        <f t="shared" si="10"/>
        <v>0</v>
      </c>
      <c r="K73" s="195">
        <f t="shared" si="10"/>
        <v>0</v>
      </c>
      <c r="L73" s="194">
        <f t="shared" si="10"/>
        <v>2090.6</v>
      </c>
      <c r="M73" s="194">
        <f t="shared" si="10"/>
        <v>0</v>
      </c>
      <c r="N73" s="194">
        <f t="shared" si="10"/>
        <v>2090.6</v>
      </c>
      <c r="O73" s="178"/>
      <c r="P73" s="92"/>
    </row>
    <row r="74" spans="1:16" ht="31.5" x14ac:dyDescent="0.2">
      <c r="A74" s="42"/>
      <c r="B74" s="168" t="s">
        <v>91</v>
      </c>
      <c r="C74" s="169" t="s">
        <v>92</v>
      </c>
      <c r="D74" s="170" t="s">
        <v>26</v>
      </c>
      <c r="E74" s="171"/>
      <c r="F74" s="172">
        <f t="shared" si="10"/>
        <v>2090.6</v>
      </c>
      <c r="G74" s="172">
        <f t="shared" si="10"/>
        <v>0</v>
      </c>
      <c r="H74" s="172">
        <f t="shared" si="10"/>
        <v>2090.6</v>
      </c>
      <c r="I74" s="188">
        <f t="shared" si="10"/>
        <v>0</v>
      </c>
      <c r="J74" s="189"/>
      <c r="K74" s="188">
        <f t="shared" si="10"/>
        <v>0</v>
      </c>
      <c r="L74" s="172">
        <f t="shared" si="10"/>
        <v>2090.6</v>
      </c>
      <c r="M74" s="172">
        <f t="shared" si="10"/>
        <v>0</v>
      </c>
      <c r="N74" s="172">
        <f t="shared" si="10"/>
        <v>2090.6</v>
      </c>
      <c r="O74" s="178"/>
      <c r="P74" s="92"/>
    </row>
    <row r="75" spans="1:16" ht="31.5" x14ac:dyDescent="0.2">
      <c r="A75" s="42"/>
      <c r="B75" s="168" t="s">
        <v>93</v>
      </c>
      <c r="C75" s="169" t="s">
        <v>94</v>
      </c>
      <c r="D75" s="170" t="s">
        <v>26</v>
      </c>
      <c r="E75" s="171"/>
      <c r="F75" s="172">
        <f>F76+F77+F78</f>
        <v>2090.6</v>
      </c>
      <c r="G75" s="172">
        <f>G76+G77+G78</f>
        <v>0</v>
      </c>
      <c r="H75" s="172">
        <f>H76+H77+H78</f>
        <v>2090.6</v>
      </c>
      <c r="I75" s="188">
        <f>I76+I77</f>
        <v>0</v>
      </c>
      <c r="J75" s="189"/>
      <c r="K75" s="188">
        <f>K76+K77</f>
        <v>0</v>
      </c>
      <c r="L75" s="172">
        <f>L76+L77+L78</f>
        <v>2090.6</v>
      </c>
      <c r="M75" s="172">
        <f>M76+M77+M78</f>
        <v>0</v>
      </c>
      <c r="N75" s="172">
        <f>N76+N77+N78</f>
        <v>2090.6</v>
      </c>
      <c r="O75" s="178"/>
      <c r="P75" s="92"/>
    </row>
    <row r="76" spans="1:16" ht="66" customHeight="1" x14ac:dyDescent="0.2">
      <c r="A76" s="42"/>
      <c r="B76" s="168" t="s">
        <v>31</v>
      </c>
      <c r="C76" s="169" t="s">
        <v>94</v>
      </c>
      <c r="D76" s="170" t="s">
        <v>32</v>
      </c>
      <c r="E76" s="171"/>
      <c r="F76" s="172">
        <v>2080.6</v>
      </c>
      <c r="G76" s="172">
        <v>-0.5</v>
      </c>
      <c r="H76" s="172">
        <f>SUM(F76)+G76</f>
        <v>2080.1</v>
      </c>
      <c r="I76" s="188">
        <v>0</v>
      </c>
      <c r="J76" s="189"/>
      <c r="K76" s="188">
        <v>0</v>
      </c>
      <c r="L76" s="172">
        <f t="shared" ref="L76:N78" si="11">SUM(F76)</f>
        <v>2080.6</v>
      </c>
      <c r="M76" s="172">
        <f t="shared" si="11"/>
        <v>-0.5</v>
      </c>
      <c r="N76" s="172">
        <f t="shared" si="11"/>
        <v>2080.1</v>
      </c>
      <c r="O76" s="178"/>
      <c r="P76" s="92"/>
    </row>
    <row r="77" spans="1:16" ht="31.5" x14ac:dyDescent="0.2">
      <c r="A77" s="42"/>
      <c r="B77" s="168" t="s">
        <v>35</v>
      </c>
      <c r="C77" s="169" t="s">
        <v>94</v>
      </c>
      <c r="D77" s="170" t="s">
        <v>36</v>
      </c>
      <c r="E77" s="171"/>
      <c r="F77" s="172">
        <v>9.5</v>
      </c>
      <c r="G77" s="172"/>
      <c r="H77" s="172">
        <f>SUM(F77)</f>
        <v>9.5</v>
      </c>
      <c r="I77" s="188">
        <v>0</v>
      </c>
      <c r="J77" s="189"/>
      <c r="K77" s="188">
        <v>0</v>
      </c>
      <c r="L77" s="172">
        <f t="shared" si="11"/>
        <v>9.5</v>
      </c>
      <c r="M77" s="172">
        <f t="shared" si="11"/>
        <v>0</v>
      </c>
      <c r="N77" s="172">
        <f t="shared" si="11"/>
        <v>9.5</v>
      </c>
      <c r="O77" s="178"/>
      <c r="P77" s="92"/>
    </row>
    <row r="78" spans="1:16" ht="18.75" x14ac:dyDescent="0.2">
      <c r="A78" s="42"/>
      <c r="B78" s="168" t="s">
        <v>41</v>
      </c>
      <c r="C78" s="169" t="s">
        <v>94</v>
      </c>
      <c r="D78" s="170" t="s">
        <v>42</v>
      </c>
      <c r="E78" s="171"/>
      <c r="F78" s="172">
        <v>0.5</v>
      </c>
      <c r="G78" s="172">
        <v>0.5</v>
      </c>
      <c r="H78" s="172">
        <f>SUM(F78)+G78</f>
        <v>1</v>
      </c>
      <c r="I78" s="188"/>
      <c r="J78" s="189"/>
      <c r="K78" s="188"/>
      <c r="L78" s="172">
        <f t="shared" si="11"/>
        <v>0.5</v>
      </c>
      <c r="M78" s="172">
        <f t="shared" si="11"/>
        <v>0.5</v>
      </c>
      <c r="N78" s="172">
        <f t="shared" si="11"/>
        <v>1</v>
      </c>
      <c r="O78" s="178"/>
      <c r="P78" s="92"/>
    </row>
    <row r="79" spans="1:16" ht="31.5" x14ac:dyDescent="0.2">
      <c r="A79" s="19" t="s">
        <v>95</v>
      </c>
      <c r="B79" s="182" t="s">
        <v>96</v>
      </c>
      <c r="C79" s="183" t="s">
        <v>97</v>
      </c>
      <c r="D79" s="184" t="s">
        <v>26</v>
      </c>
      <c r="E79" s="185"/>
      <c r="F79" s="186">
        <f t="shared" ref="F79:N79" si="12">F80+F87</f>
        <v>68359.600000000006</v>
      </c>
      <c r="G79" s="186">
        <f t="shared" si="12"/>
        <v>0</v>
      </c>
      <c r="H79" s="186">
        <f t="shared" si="12"/>
        <v>68359.600000000006</v>
      </c>
      <c r="I79" s="187">
        <f t="shared" si="12"/>
        <v>0</v>
      </c>
      <c r="J79" s="186">
        <f t="shared" si="12"/>
        <v>0</v>
      </c>
      <c r="K79" s="187">
        <f t="shared" si="12"/>
        <v>0</v>
      </c>
      <c r="L79" s="186">
        <f t="shared" si="12"/>
        <v>68359.600000000006</v>
      </c>
      <c r="M79" s="186">
        <f t="shared" si="12"/>
        <v>0</v>
      </c>
      <c r="N79" s="186">
        <f t="shared" si="12"/>
        <v>68359.600000000006</v>
      </c>
      <c r="O79" s="178"/>
      <c r="P79" s="92"/>
    </row>
    <row r="80" spans="1:16" ht="31.5" x14ac:dyDescent="0.2">
      <c r="A80" s="49"/>
      <c r="B80" s="190" t="s">
        <v>98</v>
      </c>
      <c r="C80" s="191" t="s">
        <v>99</v>
      </c>
      <c r="D80" s="192" t="s">
        <v>26</v>
      </c>
      <c r="E80" s="193"/>
      <c r="F80" s="194">
        <f t="shared" ref="F80:N80" si="13">F81+F84</f>
        <v>68079.600000000006</v>
      </c>
      <c r="G80" s="194">
        <f t="shared" si="13"/>
        <v>0</v>
      </c>
      <c r="H80" s="194">
        <f t="shared" si="13"/>
        <v>68079.600000000006</v>
      </c>
      <c r="I80" s="195">
        <f t="shared" si="13"/>
        <v>0</v>
      </c>
      <c r="J80" s="194">
        <f t="shared" si="13"/>
        <v>0</v>
      </c>
      <c r="K80" s="195">
        <f t="shared" si="13"/>
        <v>0</v>
      </c>
      <c r="L80" s="194">
        <f t="shared" si="13"/>
        <v>68079.600000000006</v>
      </c>
      <c r="M80" s="194">
        <f t="shared" si="13"/>
        <v>0</v>
      </c>
      <c r="N80" s="194">
        <f t="shared" si="13"/>
        <v>68079.600000000006</v>
      </c>
      <c r="O80" s="178"/>
      <c r="P80" s="92"/>
    </row>
    <row r="81" spans="1:17" ht="31.5" x14ac:dyDescent="0.2">
      <c r="A81" s="42"/>
      <c r="B81" s="168" t="s">
        <v>100</v>
      </c>
      <c r="C81" s="169" t="s">
        <v>101</v>
      </c>
      <c r="D81" s="170" t="s">
        <v>26</v>
      </c>
      <c r="E81" s="171"/>
      <c r="F81" s="172">
        <f t="shared" ref="F81:N82" si="14">F82</f>
        <v>63946</v>
      </c>
      <c r="G81" s="172">
        <f t="shared" si="14"/>
        <v>0</v>
      </c>
      <c r="H81" s="172">
        <f t="shared" si="14"/>
        <v>63946</v>
      </c>
      <c r="I81" s="188">
        <f t="shared" si="14"/>
        <v>0</v>
      </c>
      <c r="J81" s="189"/>
      <c r="K81" s="188">
        <f t="shared" si="14"/>
        <v>0</v>
      </c>
      <c r="L81" s="172">
        <f t="shared" si="14"/>
        <v>63946</v>
      </c>
      <c r="M81" s="172">
        <f t="shared" si="14"/>
        <v>0</v>
      </c>
      <c r="N81" s="172">
        <f t="shared" si="14"/>
        <v>63946</v>
      </c>
      <c r="O81" s="178"/>
      <c r="P81" s="92"/>
    </row>
    <row r="82" spans="1:17" ht="18.75" x14ac:dyDescent="0.2">
      <c r="A82" s="42"/>
      <c r="B82" s="168" t="s">
        <v>102</v>
      </c>
      <c r="C82" s="169" t="s">
        <v>103</v>
      </c>
      <c r="D82" s="170" t="s">
        <v>26</v>
      </c>
      <c r="E82" s="171"/>
      <c r="F82" s="172">
        <f t="shared" si="14"/>
        <v>63946</v>
      </c>
      <c r="G82" s="172">
        <f t="shared" si="14"/>
        <v>0</v>
      </c>
      <c r="H82" s="172">
        <f t="shared" si="14"/>
        <v>63946</v>
      </c>
      <c r="I82" s="188">
        <f t="shared" si="14"/>
        <v>0</v>
      </c>
      <c r="J82" s="189"/>
      <c r="K82" s="188">
        <f t="shared" si="14"/>
        <v>0</v>
      </c>
      <c r="L82" s="172">
        <f t="shared" si="14"/>
        <v>63946</v>
      </c>
      <c r="M82" s="172">
        <f t="shared" si="14"/>
        <v>0</v>
      </c>
      <c r="N82" s="172">
        <f t="shared" si="14"/>
        <v>63946</v>
      </c>
      <c r="O82" s="178"/>
      <c r="P82" s="92"/>
    </row>
    <row r="83" spans="1:17" ht="18.75" x14ac:dyDescent="0.2">
      <c r="A83" s="42"/>
      <c r="B83" s="168" t="s">
        <v>54</v>
      </c>
      <c r="C83" s="169" t="s">
        <v>103</v>
      </c>
      <c r="D83" s="170" t="s">
        <v>55</v>
      </c>
      <c r="E83" s="171"/>
      <c r="F83" s="172">
        <v>63946</v>
      </c>
      <c r="G83" s="172"/>
      <c r="H83" s="172">
        <f>SUM(F83)+G83</f>
        <v>63946</v>
      </c>
      <c r="I83" s="188">
        <v>0</v>
      </c>
      <c r="J83" s="189"/>
      <c r="K83" s="188">
        <v>0</v>
      </c>
      <c r="L83" s="172">
        <f>SUM(F83)</f>
        <v>63946</v>
      </c>
      <c r="M83" s="172">
        <f>SUM(G83)</f>
        <v>0</v>
      </c>
      <c r="N83" s="172">
        <f>SUM(H83)</f>
        <v>63946</v>
      </c>
      <c r="O83" s="178"/>
      <c r="P83" s="92"/>
    </row>
    <row r="84" spans="1:17" ht="36" customHeight="1" x14ac:dyDescent="0.2">
      <c r="A84" s="42"/>
      <c r="B84" s="168" t="s">
        <v>104</v>
      </c>
      <c r="C84" s="169" t="s">
        <v>105</v>
      </c>
      <c r="D84" s="170" t="s">
        <v>26</v>
      </c>
      <c r="E84" s="171"/>
      <c r="F84" s="172">
        <f t="shared" ref="F84:N85" si="15">F85</f>
        <v>4133.6000000000004</v>
      </c>
      <c r="G84" s="172">
        <f t="shared" si="15"/>
        <v>0</v>
      </c>
      <c r="H84" s="172">
        <f t="shared" si="15"/>
        <v>4133.6000000000004</v>
      </c>
      <c r="I84" s="188">
        <f t="shared" si="15"/>
        <v>0</v>
      </c>
      <c r="J84" s="189"/>
      <c r="K84" s="188">
        <f t="shared" si="15"/>
        <v>0</v>
      </c>
      <c r="L84" s="172">
        <f t="shared" si="15"/>
        <v>4133.6000000000004</v>
      </c>
      <c r="M84" s="172">
        <f t="shared" si="15"/>
        <v>0</v>
      </c>
      <c r="N84" s="172">
        <f t="shared" si="15"/>
        <v>4133.6000000000004</v>
      </c>
      <c r="O84" s="178"/>
      <c r="P84" s="92"/>
    </row>
    <row r="85" spans="1:17" ht="31.5" x14ac:dyDescent="0.2">
      <c r="A85" s="42"/>
      <c r="B85" s="168" t="s">
        <v>106</v>
      </c>
      <c r="C85" s="169" t="s">
        <v>107</v>
      </c>
      <c r="D85" s="170" t="s">
        <v>26</v>
      </c>
      <c r="E85" s="171"/>
      <c r="F85" s="172">
        <f t="shared" si="15"/>
        <v>4133.6000000000004</v>
      </c>
      <c r="G85" s="172">
        <f t="shared" si="15"/>
        <v>0</v>
      </c>
      <c r="H85" s="172">
        <f t="shared" si="15"/>
        <v>4133.6000000000004</v>
      </c>
      <c r="I85" s="188">
        <f t="shared" si="15"/>
        <v>0</v>
      </c>
      <c r="J85" s="189"/>
      <c r="K85" s="188">
        <f t="shared" si="15"/>
        <v>0</v>
      </c>
      <c r="L85" s="172">
        <f t="shared" si="15"/>
        <v>4133.6000000000004</v>
      </c>
      <c r="M85" s="172">
        <f t="shared" si="15"/>
        <v>0</v>
      </c>
      <c r="N85" s="172">
        <f t="shared" si="15"/>
        <v>4133.6000000000004</v>
      </c>
      <c r="O85" s="178"/>
      <c r="P85" s="92"/>
    </row>
    <row r="86" spans="1:17" ht="18.75" x14ac:dyDescent="0.2">
      <c r="A86" s="42"/>
      <c r="B86" s="168" t="s">
        <v>54</v>
      </c>
      <c r="C86" s="169" t="s">
        <v>107</v>
      </c>
      <c r="D86" s="170" t="s">
        <v>55</v>
      </c>
      <c r="E86" s="171"/>
      <c r="F86" s="172">
        <v>4133.6000000000004</v>
      </c>
      <c r="G86" s="172"/>
      <c r="H86" s="172">
        <f>F86+G86</f>
        <v>4133.6000000000004</v>
      </c>
      <c r="I86" s="188">
        <v>0</v>
      </c>
      <c r="J86" s="189"/>
      <c r="K86" s="188">
        <v>0</v>
      </c>
      <c r="L86" s="172">
        <f>SUM(F86)</f>
        <v>4133.6000000000004</v>
      </c>
      <c r="M86" s="172">
        <f>G86+J86</f>
        <v>0</v>
      </c>
      <c r="N86" s="172">
        <f>SUM(L86:M86)</f>
        <v>4133.6000000000004</v>
      </c>
      <c r="O86" s="178"/>
      <c r="P86" s="92"/>
    </row>
    <row r="87" spans="1:17" ht="37.9" customHeight="1" x14ac:dyDescent="0.2">
      <c r="A87" s="49"/>
      <c r="B87" s="190" t="s">
        <v>108</v>
      </c>
      <c r="C87" s="191" t="s">
        <v>109</v>
      </c>
      <c r="D87" s="192" t="s">
        <v>26</v>
      </c>
      <c r="E87" s="193"/>
      <c r="F87" s="194">
        <f t="shared" ref="F87:N89" si="16">F88</f>
        <v>280</v>
      </c>
      <c r="G87" s="194">
        <f t="shared" si="16"/>
        <v>0</v>
      </c>
      <c r="H87" s="194">
        <f t="shared" si="16"/>
        <v>280</v>
      </c>
      <c r="I87" s="195">
        <f t="shared" si="16"/>
        <v>0</v>
      </c>
      <c r="J87" s="194">
        <f>J88</f>
        <v>0</v>
      </c>
      <c r="K87" s="195">
        <f t="shared" si="16"/>
        <v>0</v>
      </c>
      <c r="L87" s="194">
        <f t="shared" si="16"/>
        <v>280</v>
      </c>
      <c r="M87" s="194">
        <f t="shared" si="16"/>
        <v>0</v>
      </c>
      <c r="N87" s="194">
        <f t="shared" si="16"/>
        <v>280</v>
      </c>
      <c r="O87" s="178"/>
      <c r="P87" s="92"/>
    </row>
    <row r="88" spans="1:17" ht="64.150000000000006" customHeight="1" x14ac:dyDescent="0.2">
      <c r="A88" s="42"/>
      <c r="B88" s="168" t="s">
        <v>110</v>
      </c>
      <c r="C88" s="169" t="s">
        <v>111</v>
      </c>
      <c r="D88" s="170" t="s">
        <v>26</v>
      </c>
      <c r="E88" s="171"/>
      <c r="F88" s="172">
        <f t="shared" si="16"/>
        <v>280</v>
      </c>
      <c r="G88" s="172">
        <f t="shared" si="16"/>
        <v>0</v>
      </c>
      <c r="H88" s="172">
        <f t="shared" si="16"/>
        <v>280</v>
      </c>
      <c r="I88" s="188">
        <f t="shared" si="16"/>
        <v>0</v>
      </c>
      <c r="J88" s="189"/>
      <c r="K88" s="188">
        <f t="shared" si="16"/>
        <v>0</v>
      </c>
      <c r="L88" s="172">
        <f t="shared" si="16"/>
        <v>280</v>
      </c>
      <c r="M88" s="172">
        <f t="shared" si="16"/>
        <v>0</v>
      </c>
      <c r="N88" s="172">
        <f t="shared" si="16"/>
        <v>280</v>
      </c>
      <c r="O88" s="178"/>
      <c r="P88" s="92"/>
    </row>
    <row r="89" spans="1:17" ht="36.6" customHeight="1" x14ac:dyDescent="0.2">
      <c r="A89" s="42"/>
      <c r="B89" s="168" t="s">
        <v>112</v>
      </c>
      <c r="C89" s="169" t="s">
        <v>113</v>
      </c>
      <c r="D89" s="170" t="s">
        <v>26</v>
      </c>
      <c r="E89" s="171"/>
      <c r="F89" s="172">
        <f t="shared" si="16"/>
        <v>280</v>
      </c>
      <c r="G89" s="172">
        <f t="shared" si="16"/>
        <v>0</v>
      </c>
      <c r="H89" s="172">
        <f t="shared" si="16"/>
        <v>280</v>
      </c>
      <c r="I89" s="188">
        <f t="shared" si="16"/>
        <v>0</v>
      </c>
      <c r="J89" s="189"/>
      <c r="K89" s="188">
        <f t="shared" si="16"/>
        <v>0</v>
      </c>
      <c r="L89" s="172">
        <f t="shared" si="16"/>
        <v>280</v>
      </c>
      <c r="M89" s="172">
        <f t="shared" si="16"/>
        <v>0</v>
      </c>
      <c r="N89" s="172">
        <f t="shared" si="16"/>
        <v>280</v>
      </c>
      <c r="O89" s="178"/>
      <c r="P89" s="92"/>
    </row>
    <row r="90" spans="1:17" ht="31.5" x14ac:dyDescent="0.2">
      <c r="A90" s="42"/>
      <c r="B90" s="168" t="s">
        <v>74</v>
      </c>
      <c r="C90" s="169" t="s">
        <v>113</v>
      </c>
      <c r="D90" s="170" t="s">
        <v>75</v>
      </c>
      <c r="E90" s="171"/>
      <c r="F90" s="172">
        <v>280</v>
      </c>
      <c r="G90" s="172"/>
      <c r="H90" s="172">
        <v>280</v>
      </c>
      <c r="I90" s="188">
        <v>0</v>
      </c>
      <c r="J90" s="189"/>
      <c r="K90" s="188">
        <v>0</v>
      </c>
      <c r="L90" s="172">
        <v>280</v>
      </c>
      <c r="M90" s="172"/>
      <c r="N90" s="172">
        <v>280</v>
      </c>
      <c r="O90" s="178"/>
      <c r="P90" s="92"/>
    </row>
    <row r="91" spans="1:17" ht="47.25" x14ac:dyDescent="0.2">
      <c r="A91" s="19" t="s">
        <v>114</v>
      </c>
      <c r="B91" s="182" t="s">
        <v>115</v>
      </c>
      <c r="C91" s="183" t="s">
        <v>116</v>
      </c>
      <c r="D91" s="184" t="s">
        <v>26</v>
      </c>
      <c r="E91" s="185"/>
      <c r="F91" s="186">
        <f t="shared" ref="F91:K91" si="17">F92+F102+F114</f>
        <v>35829.5</v>
      </c>
      <c r="G91" s="186">
        <f>G92+G102+G114</f>
        <v>926.09999999999991</v>
      </c>
      <c r="H91" s="186">
        <f>H92+H102+H114+H131</f>
        <v>36755.600000000006</v>
      </c>
      <c r="I91" s="187">
        <f t="shared" si="17"/>
        <v>57252.9</v>
      </c>
      <c r="J91" s="186">
        <f t="shared" si="17"/>
        <v>0</v>
      </c>
      <c r="K91" s="187">
        <f t="shared" si="17"/>
        <v>57252.9</v>
      </c>
      <c r="L91" s="186">
        <f>L92+L102+L114</f>
        <v>93082.400000000009</v>
      </c>
      <c r="M91" s="186">
        <f>M92+M102+M114+M131</f>
        <v>926.09999999999991</v>
      </c>
      <c r="N91" s="186">
        <f>SUM(N92+N102+N114)+N131</f>
        <v>94008.5</v>
      </c>
      <c r="O91" s="178"/>
      <c r="P91" s="92"/>
      <c r="Q91" s="25"/>
    </row>
    <row r="92" spans="1:17" ht="33.6" customHeight="1" x14ac:dyDescent="0.2">
      <c r="A92" s="49"/>
      <c r="B92" s="190" t="s">
        <v>117</v>
      </c>
      <c r="C92" s="191" t="s">
        <v>118</v>
      </c>
      <c r="D92" s="192" t="s">
        <v>26</v>
      </c>
      <c r="E92" s="193"/>
      <c r="F92" s="194">
        <f t="shared" ref="F92:N92" si="18">F93</f>
        <v>1449.1000000000001</v>
      </c>
      <c r="G92" s="194">
        <f t="shared" si="18"/>
        <v>0</v>
      </c>
      <c r="H92" s="194">
        <f t="shared" si="18"/>
        <v>1449.1000000000001</v>
      </c>
      <c r="I92" s="195">
        <f t="shared" si="18"/>
        <v>13560.400000000001</v>
      </c>
      <c r="J92" s="194">
        <f t="shared" si="18"/>
        <v>0</v>
      </c>
      <c r="K92" s="195">
        <f t="shared" si="18"/>
        <v>13560.400000000001</v>
      </c>
      <c r="L92" s="194">
        <f t="shared" si="18"/>
        <v>15009.5</v>
      </c>
      <c r="M92" s="194">
        <f t="shared" si="18"/>
        <v>0</v>
      </c>
      <c r="N92" s="194">
        <f t="shared" si="18"/>
        <v>15009.5</v>
      </c>
      <c r="O92" s="178"/>
      <c r="P92" s="92"/>
    </row>
    <row r="93" spans="1:17" ht="47.25" x14ac:dyDescent="0.2">
      <c r="A93" s="42"/>
      <c r="B93" s="168" t="s">
        <v>119</v>
      </c>
      <c r="C93" s="169" t="s">
        <v>120</v>
      </c>
      <c r="D93" s="170" t="s">
        <v>26</v>
      </c>
      <c r="E93" s="171"/>
      <c r="F93" s="172">
        <f>F100+F94+F96+F98</f>
        <v>1449.1000000000001</v>
      </c>
      <c r="G93" s="172">
        <f>G100+G94+G96+G98</f>
        <v>0</v>
      </c>
      <c r="H93" s="172">
        <f>H100+H94+H96+H98</f>
        <v>1449.1000000000001</v>
      </c>
      <c r="I93" s="188">
        <f>I100+I96+I98</f>
        <v>13560.400000000001</v>
      </c>
      <c r="J93" s="172">
        <f>J100+J94+J96</f>
        <v>0</v>
      </c>
      <c r="K93" s="188">
        <f>K100+K96+K98</f>
        <v>13560.400000000001</v>
      </c>
      <c r="L93" s="172">
        <f>L100+L94+L96+L98</f>
        <v>15009.5</v>
      </c>
      <c r="M93" s="172">
        <f>M100+M94+M96+M98</f>
        <v>0</v>
      </c>
      <c r="N93" s="172">
        <f>N100+N94+N96+N98</f>
        <v>15009.5</v>
      </c>
      <c r="O93" s="178"/>
      <c r="P93" s="92"/>
    </row>
    <row r="94" spans="1:17" ht="31.5" x14ac:dyDescent="0.2">
      <c r="A94" s="42"/>
      <c r="B94" s="198" t="s">
        <v>121</v>
      </c>
      <c r="C94" s="169" t="s">
        <v>122</v>
      </c>
      <c r="D94" s="170"/>
      <c r="E94" s="171"/>
      <c r="F94" s="172">
        <v>735.3</v>
      </c>
      <c r="G94" s="172"/>
      <c r="H94" s="172">
        <f>SUM(F94)</f>
        <v>735.3</v>
      </c>
      <c r="I94" s="188"/>
      <c r="J94" s="189"/>
      <c r="K94" s="188"/>
      <c r="L94" s="172">
        <f t="shared" ref="L94:N95" si="19">SUM(F94)</f>
        <v>735.3</v>
      </c>
      <c r="M94" s="172">
        <f t="shared" si="19"/>
        <v>0</v>
      </c>
      <c r="N94" s="172">
        <f t="shared" si="19"/>
        <v>735.3</v>
      </c>
      <c r="O94" s="178"/>
      <c r="P94" s="92"/>
    </row>
    <row r="95" spans="1:17" ht="31.5" x14ac:dyDescent="0.2">
      <c r="A95" s="42"/>
      <c r="B95" s="168" t="s">
        <v>35</v>
      </c>
      <c r="C95" s="169" t="s">
        <v>122</v>
      </c>
      <c r="D95" s="170" t="s">
        <v>36</v>
      </c>
      <c r="E95" s="171"/>
      <c r="F95" s="172">
        <v>735.3</v>
      </c>
      <c r="G95" s="172"/>
      <c r="H95" s="172">
        <f>SUM(F95)</f>
        <v>735.3</v>
      </c>
      <c r="I95" s="188"/>
      <c r="J95" s="189"/>
      <c r="K95" s="188"/>
      <c r="L95" s="172">
        <f t="shared" si="19"/>
        <v>735.3</v>
      </c>
      <c r="M95" s="172">
        <f t="shared" si="19"/>
        <v>0</v>
      </c>
      <c r="N95" s="172">
        <f t="shared" si="19"/>
        <v>735.3</v>
      </c>
      <c r="O95" s="178"/>
      <c r="P95" s="92"/>
    </row>
    <row r="96" spans="1:17" ht="63" x14ac:dyDescent="0.2">
      <c r="A96" s="42"/>
      <c r="B96" s="197" t="s">
        <v>450</v>
      </c>
      <c r="C96" s="169" t="s">
        <v>449</v>
      </c>
      <c r="D96" s="170"/>
      <c r="E96" s="171"/>
      <c r="F96" s="172">
        <f>SUM(F97)</f>
        <v>0</v>
      </c>
      <c r="G96" s="172"/>
      <c r="H96" s="172">
        <f>SUM(F96+G96)</f>
        <v>0</v>
      </c>
      <c r="I96" s="188">
        <f>SUM(I97)</f>
        <v>0</v>
      </c>
      <c r="J96" s="189"/>
      <c r="K96" s="188">
        <f>SUM(K97)</f>
        <v>0</v>
      </c>
      <c r="L96" s="172">
        <f>SUM(F96+I96)</f>
        <v>0</v>
      </c>
      <c r="M96" s="172">
        <f t="shared" ref="M96:N99" si="20">SUM(G96)+J96</f>
        <v>0</v>
      </c>
      <c r="N96" s="172">
        <f t="shared" si="20"/>
        <v>0</v>
      </c>
      <c r="O96" s="178"/>
      <c r="P96" s="92"/>
    </row>
    <row r="97" spans="1:16" ht="31.5" x14ac:dyDescent="0.2">
      <c r="A97" s="42"/>
      <c r="B97" s="168" t="s">
        <v>35</v>
      </c>
      <c r="C97" s="169" t="s">
        <v>449</v>
      </c>
      <c r="D97" s="170" t="s">
        <v>36</v>
      </c>
      <c r="E97" s="171"/>
      <c r="F97" s="172">
        <v>0</v>
      </c>
      <c r="G97" s="172"/>
      <c r="H97" s="172">
        <f>SUM(F97+G97)</f>
        <v>0</v>
      </c>
      <c r="I97" s="188">
        <v>0</v>
      </c>
      <c r="J97" s="189"/>
      <c r="K97" s="188">
        <v>0</v>
      </c>
      <c r="L97" s="172">
        <f>SUM(F97+I97)</f>
        <v>0</v>
      </c>
      <c r="M97" s="172">
        <f t="shared" si="20"/>
        <v>0</v>
      </c>
      <c r="N97" s="172">
        <f t="shared" si="20"/>
        <v>0</v>
      </c>
      <c r="O97" s="178"/>
      <c r="P97" s="92"/>
    </row>
    <row r="98" spans="1:16" ht="63" x14ac:dyDescent="0.2">
      <c r="A98" s="42"/>
      <c r="B98" s="197" t="s">
        <v>450</v>
      </c>
      <c r="C98" s="199" t="s">
        <v>459</v>
      </c>
      <c r="D98" s="170"/>
      <c r="E98" s="171"/>
      <c r="F98" s="172">
        <f>SUM(F99)</f>
        <v>294.2</v>
      </c>
      <c r="G98" s="172"/>
      <c r="H98" s="172">
        <f>SUM(H99)</f>
        <v>294.2</v>
      </c>
      <c r="I98" s="188">
        <v>5589.3</v>
      </c>
      <c r="J98" s="189"/>
      <c r="K98" s="189">
        <v>5589.3</v>
      </c>
      <c r="L98" s="172">
        <f>SUM(F98+I98)</f>
        <v>5883.5</v>
      </c>
      <c r="M98" s="172">
        <f t="shared" si="20"/>
        <v>0</v>
      </c>
      <c r="N98" s="172">
        <f>SUM(H98+K98)</f>
        <v>5883.5</v>
      </c>
      <c r="O98" s="178"/>
      <c r="P98" s="92"/>
    </row>
    <row r="99" spans="1:16" ht="31.5" x14ac:dyDescent="0.2">
      <c r="A99" s="42"/>
      <c r="B99" s="168" t="s">
        <v>35</v>
      </c>
      <c r="C99" s="199" t="s">
        <v>459</v>
      </c>
      <c r="D99" s="170" t="s">
        <v>36</v>
      </c>
      <c r="E99" s="171"/>
      <c r="F99" s="172">
        <v>294.2</v>
      </c>
      <c r="G99" s="172"/>
      <c r="H99" s="172">
        <v>294.2</v>
      </c>
      <c r="I99" s="188">
        <v>5589.3</v>
      </c>
      <c r="J99" s="189"/>
      <c r="K99" s="189">
        <v>5589.3</v>
      </c>
      <c r="L99" s="172">
        <f>SUM(F99+I99)</f>
        <v>5883.5</v>
      </c>
      <c r="M99" s="172">
        <f t="shared" si="20"/>
        <v>0</v>
      </c>
      <c r="N99" s="172">
        <f t="shared" si="20"/>
        <v>5883.5</v>
      </c>
      <c r="O99" s="178"/>
      <c r="P99" s="92"/>
    </row>
    <row r="100" spans="1:16" ht="36.6" customHeight="1" x14ac:dyDescent="0.2">
      <c r="A100" s="42"/>
      <c r="B100" s="168" t="s">
        <v>123</v>
      </c>
      <c r="C100" s="169" t="s">
        <v>124</v>
      </c>
      <c r="D100" s="170" t="s">
        <v>26</v>
      </c>
      <c r="E100" s="171"/>
      <c r="F100" s="172">
        <f t="shared" ref="F100:N100" si="21">F101</f>
        <v>419.6</v>
      </c>
      <c r="G100" s="172">
        <f t="shared" si="21"/>
        <v>0</v>
      </c>
      <c r="H100" s="172">
        <f t="shared" si="21"/>
        <v>419.6</v>
      </c>
      <c r="I100" s="188">
        <f t="shared" si="21"/>
        <v>7971.1</v>
      </c>
      <c r="J100" s="188">
        <f t="shared" si="21"/>
        <v>0</v>
      </c>
      <c r="K100" s="188">
        <f t="shared" si="21"/>
        <v>7971.1</v>
      </c>
      <c r="L100" s="172">
        <f t="shared" si="21"/>
        <v>8390.7000000000007</v>
      </c>
      <c r="M100" s="172">
        <f t="shared" si="21"/>
        <v>0</v>
      </c>
      <c r="N100" s="172">
        <f t="shared" si="21"/>
        <v>8390.7000000000007</v>
      </c>
      <c r="O100" s="178"/>
      <c r="P100" s="92"/>
    </row>
    <row r="101" spans="1:16" ht="31.5" x14ac:dyDescent="0.2">
      <c r="A101" s="42"/>
      <c r="B101" s="168" t="s">
        <v>35</v>
      </c>
      <c r="C101" s="169" t="s">
        <v>124</v>
      </c>
      <c r="D101" s="170" t="s">
        <v>36</v>
      </c>
      <c r="E101" s="171"/>
      <c r="F101" s="172">
        <v>419.6</v>
      </c>
      <c r="G101" s="172"/>
      <c r="H101" s="172">
        <f>419.6+G101</f>
        <v>419.6</v>
      </c>
      <c r="I101" s="188">
        <v>7971.1</v>
      </c>
      <c r="J101" s="189"/>
      <c r="K101" s="188">
        <f>7971.1+J101</f>
        <v>7971.1</v>
      </c>
      <c r="L101" s="172">
        <f>419.6+I101</f>
        <v>8390.7000000000007</v>
      </c>
      <c r="M101" s="172">
        <f>SUM(J101)</f>
        <v>0</v>
      </c>
      <c r="N101" s="172">
        <f>419.6+K101</f>
        <v>8390.7000000000007</v>
      </c>
      <c r="O101" s="178"/>
      <c r="P101" s="92"/>
    </row>
    <row r="102" spans="1:16" ht="35.450000000000003" customHeight="1" x14ac:dyDescent="0.2">
      <c r="A102" s="49"/>
      <c r="B102" s="190" t="s">
        <v>125</v>
      </c>
      <c r="C102" s="191" t="s">
        <v>126</v>
      </c>
      <c r="D102" s="192" t="s">
        <v>26</v>
      </c>
      <c r="E102" s="193"/>
      <c r="F102" s="194">
        <f t="shared" ref="F102:N102" si="22">F103+F111</f>
        <v>16673.599999999999</v>
      </c>
      <c r="G102" s="194">
        <f>G103+G111</f>
        <v>629.69999999999993</v>
      </c>
      <c r="H102" s="194">
        <f>H103+H111</f>
        <v>17303.300000000003</v>
      </c>
      <c r="I102" s="195">
        <f t="shared" si="22"/>
        <v>43692.5</v>
      </c>
      <c r="J102" s="194">
        <f t="shared" si="22"/>
        <v>0</v>
      </c>
      <c r="K102" s="195">
        <f t="shared" si="22"/>
        <v>43692.5</v>
      </c>
      <c r="L102" s="194">
        <f t="shared" si="22"/>
        <v>60366.1</v>
      </c>
      <c r="M102" s="194">
        <f t="shared" si="22"/>
        <v>629.69999999999993</v>
      </c>
      <c r="N102" s="194">
        <f t="shared" si="22"/>
        <v>60995.8</v>
      </c>
      <c r="O102" s="178"/>
      <c r="P102" s="92"/>
    </row>
    <row r="103" spans="1:16" ht="31.5" x14ac:dyDescent="0.2">
      <c r="A103" s="42"/>
      <c r="B103" s="168" t="s">
        <v>127</v>
      </c>
      <c r="C103" s="169" t="s">
        <v>128</v>
      </c>
      <c r="D103" s="170" t="s">
        <v>26</v>
      </c>
      <c r="E103" s="171"/>
      <c r="F103" s="188">
        <f>F104+F109+F107</f>
        <v>9840.6</v>
      </c>
      <c r="G103" s="188">
        <f t="shared" ref="G103:N103" si="23">G104+G109+G107</f>
        <v>229.69999999999993</v>
      </c>
      <c r="H103" s="188">
        <f t="shared" si="23"/>
        <v>10070.300000000001</v>
      </c>
      <c r="I103" s="188">
        <f t="shared" si="23"/>
        <v>43692.5</v>
      </c>
      <c r="J103" s="188">
        <f t="shared" si="23"/>
        <v>0</v>
      </c>
      <c r="K103" s="188">
        <f t="shared" si="23"/>
        <v>43692.5</v>
      </c>
      <c r="L103" s="188">
        <f t="shared" si="23"/>
        <v>53533.1</v>
      </c>
      <c r="M103" s="188">
        <f t="shared" si="23"/>
        <v>229.69999999999993</v>
      </c>
      <c r="N103" s="188">
        <f t="shared" si="23"/>
        <v>53762.8</v>
      </c>
      <c r="O103" s="178"/>
      <c r="P103" s="92"/>
    </row>
    <row r="104" spans="1:16" ht="49.15" customHeight="1" x14ac:dyDescent="0.2">
      <c r="A104" s="42"/>
      <c r="B104" s="168" t="s">
        <v>129</v>
      </c>
      <c r="C104" s="169" t="s">
        <v>130</v>
      </c>
      <c r="D104" s="170" t="s">
        <v>26</v>
      </c>
      <c r="E104" s="171"/>
      <c r="F104" s="172">
        <f>F105+F106</f>
        <v>9540.6</v>
      </c>
      <c r="G104" s="172">
        <f>G105+G106</f>
        <v>529.69999999999993</v>
      </c>
      <c r="H104" s="172">
        <f>H105+H106</f>
        <v>10070.300000000001</v>
      </c>
      <c r="I104" s="188">
        <f>I105+I106</f>
        <v>17036</v>
      </c>
      <c r="J104" s="189">
        <f>SUM(J105+J106)</f>
        <v>0</v>
      </c>
      <c r="K104" s="188">
        <f>K105+K106</f>
        <v>17036</v>
      </c>
      <c r="L104" s="172">
        <f>L105+L106</f>
        <v>26576.6</v>
      </c>
      <c r="M104" s="172">
        <f>M105+M106</f>
        <v>529.69999999999993</v>
      </c>
      <c r="N104" s="172">
        <f>N105+N106</f>
        <v>27106.300000000003</v>
      </c>
      <c r="O104" s="178"/>
      <c r="P104" s="92"/>
    </row>
    <row r="105" spans="1:16" ht="31.5" x14ac:dyDescent="0.2">
      <c r="A105" s="42"/>
      <c r="B105" s="168" t="s">
        <v>35</v>
      </c>
      <c r="C105" s="169" t="s">
        <v>130</v>
      </c>
      <c r="D105" s="170" t="s">
        <v>36</v>
      </c>
      <c r="E105" s="171"/>
      <c r="F105" s="172">
        <v>9060.6</v>
      </c>
      <c r="G105" s="172">
        <f>43.3+1044-100-457.6</f>
        <v>529.69999999999993</v>
      </c>
      <c r="H105" s="172">
        <f>SUM(F105)+G105</f>
        <v>9590.3000000000011</v>
      </c>
      <c r="I105" s="188">
        <v>0</v>
      </c>
      <c r="J105" s="189">
        <f>26656.5-26656.5</f>
        <v>0</v>
      </c>
      <c r="K105" s="189">
        <f>SUM(J105)</f>
        <v>0</v>
      </c>
      <c r="L105" s="172">
        <f>SUM(F105)</f>
        <v>9060.6</v>
      </c>
      <c r="M105" s="172">
        <f>SUM(J105)+G105</f>
        <v>529.69999999999993</v>
      </c>
      <c r="N105" s="172">
        <f>SUM(H105)</f>
        <v>9590.3000000000011</v>
      </c>
      <c r="O105" s="178"/>
      <c r="P105" s="92"/>
    </row>
    <row r="106" spans="1:16" ht="31.5" x14ac:dyDescent="0.2">
      <c r="A106" s="42"/>
      <c r="B106" s="168" t="s">
        <v>131</v>
      </c>
      <c r="C106" s="169" t="s">
        <v>130</v>
      </c>
      <c r="D106" s="170" t="s">
        <v>132</v>
      </c>
      <c r="E106" s="171"/>
      <c r="F106" s="172">
        <v>480</v>
      </c>
      <c r="G106" s="172"/>
      <c r="H106" s="172">
        <f>SUM(F106:G106)</f>
        <v>480</v>
      </c>
      <c r="I106" s="188">
        <v>17036</v>
      </c>
      <c r="J106" s="172"/>
      <c r="K106" s="189">
        <f>SUM(I106)</f>
        <v>17036</v>
      </c>
      <c r="L106" s="172">
        <f>SUM(F106+I106)</f>
        <v>17516</v>
      </c>
      <c r="M106" s="172">
        <f>SUM(J106)+G106</f>
        <v>0</v>
      </c>
      <c r="N106" s="172">
        <f>SUM(H106+K106)</f>
        <v>17516</v>
      </c>
      <c r="O106" s="178"/>
      <c r="P106" s="92"/>
    </row>
    <row r="107" spans="1:16" ht="78.75" x14ac:dyDescent="0.2">
      <c r="A107" s="42"/>
      <c r="B107" s="168" t="s">
        <v>133</v>
      </c>
      <c r="C107" s="169" t="s">
        <v>134</v>
      </c>
      <c r="D107" s="170"/>
      <c r="E107" s="171"/>
      <c r="F107" s="188">
        <f>F108</f>
        <v>0</v>
      </c>
      <c r="G107" s="188">
        <f t="shared" ref="G107:N107" si="24">G108</f>
        <v>0</v>
      </c>
      <c r="H107" s="188">
        <f t="shared" si="24"/>
        <v>0</v>
      </c>
      <c r="I107" s="188">
        <f t="shared" si="24"/>
        <v>26656.5</v>
      </c>
      <c r="J107" s="188">
        <f t="shared" si="24"/>
        <v>0</v>
      </c>
      <c r="K107" s="188">
        <f t="shared" si="24"/>
        <v>26656.5</v>
      </c>
      <c r="L107" s="188">
        <f t="shared" si="24"/>
        <v>26656.5</v>
      </c>
      <c r="M107" s="188">
        <f t="shared" si="24"/>
        <v>0</v>
      </c>
      <c r="N107" s="188">
        <f t="shared" si="24"/>
        <v>26656.5</v>
      </c>
      <c r="O107" s="178"/>
      <c r="P107" s="92"/>
    </row>
    <row r="108" spans="1:16" ht="34.15" customHeight="1" x14ac:dyDescent="0.2">
      <c r="A108" s="42"/>
      <c r="B108" s="168" t="s">
        <v>35</v>
      </c>
      <c r="C108" s="169" t="s">
        <v>134</v>
      </c>
      <c r="D108" s="170" t="s">
        <v>36</v>
      </c>
      <c r="E108" s="171"/>
      <c r="F108" s="172"/>
      <c r="G108" s="172"/>
      <c r="H108" s="172"/>
      <c r="I108" s="188">
        <v>26656.5</v>
      </c>
      <c r="J108" s="189"/>
      <c r="K108" s="189">
        <f>SUM(I108:J108)</f>
        <v>26656.5</v>
      </c>
      <c r="L108" s="172">
        <f>F108+I108</f>
        <v>26656.5</v>
      </c>
      <c r="M108" s="172">
        <f>G108+J108</f>
        <v>0</v>
      </c>
      <c r="N108" s="172">
        <f>H108+K108</f>
        <v>26656.5</v>
      </c>
      <c r="O108" s="178"/>
      <c r="P108" s="92"/>
    </row>
    <row r="109" spans="1:16" ht="63" x14ac:dyDescent="0.2">
      <c r="A109" s="42"/>
      <c r="B109" s="168" t="s">
        <v>135</v>
      </c>
      <c r="C109" s="169" t="s">
        <v>136</v>
      </c>
      <c r="D109" s="170" t="s">
        <v>26</v>
      </c>
      <c r="E109" s="171"/>
      <c r="F109" s="172">
        <f>F110</f>
        <v>300</v>
      </c>
      <c r="G109" s="172">
        <f>G110</f>
        <v>-300</v>
      </c>
      <c r="H109" s="172">
        <f>H110</f>
        <v>0</v>
      </c>
      <c r="I109" s="188">
        <f>I110</f>
        <v>0</v>
      </c>
      <c r="J109" s="189"/>
      <c r="K109" s="188">
        <f>K110</f>
        <v>0</v>
      </c>
      <c r="L109" s="172">
        <f>L110</f>
        <v>300</v>
      </c>
      <c r="M109" s="172">
        <f>M110</f>
        <v>-300</v>
      </c>
      <c r="N109" s="172">
        <f>N110</f>
        <v>0</v>
      </c>
      <c r="O109" s="178"/>
      <c r="P109" s="92"/>
    </row>
    <row r="110" spans="1:16" ht="31.5" x14ac:dyDescent="0.2">
      <c r="A110" s="42"/>
      <c r="B110" s="168" t="s">
        <v>35</v>
      </c>
      <c r="C110" s="169" t="s">
        <v>136</v>
      </c>
      <c r="D110" s="170" t="s">
        <v>36</v>
      </c>
      <c r="E110" s="171"/>
      <c r="F110" s="172">
        <v>300</v>
      </c>
      <c r="G110" s="172">
        <v>-300</v>
      </c>
      <c r="H110" s="172">
        <f>300+G110</f>
        <v>0</v>
      </c>
      <c r="I110" s="188">
        <v>0</v>
      </c>
      <c r="J110" s="189"/>
      <c r="K110" s="188">
        <v>0</v>
      </c>
      <c r="L110" s="172">
        <v>300</v>
      </c>
      <c r="M110" s="172">
        <f>SUM(G110)</f>
        <v>-300</v>
      </c>
      <c r="N110" s="172">
        <f>300+M110</f>
        <v>0</v>
      </c>
      <c r="O110" s="178"/>
      <c r="P110" s="92"/>
    </row>
    <row r="111" spans="1:16" ht="31.5" x14ac:dyDescent="0.2">
      <c r="A111" s="42"/>
      <c r="B111" s="168" t="s">
        <v>137</v>
      </c>
      <c r="C111" s="169" t="s">
        <v>138</v>
      </c>
      <c r="D111" s="170" t="s">
        <v>26</v>
      </c>
      <c r="E111" s="171"/>
      <c r="F111" s="172">
        <f t="shared" ref="F111:N112" si="25">F112</f>
        <v>6833</v>
      </c>
      <c r="G111" s="172">
        <f t="shared" si="25"/>
        <v>400</v>
      </c>
      <c r="H111" s="172">
        <f t="shared" si="25"/>
        <v>7233</v>
      </c>
      <c r="I111" s="188">
        <f t="shared" si="25"/>
        <v>0</v>
      </c>
      <c r="J111" s="189"/>
      <c r="K111" s="188">
        <f t="shared" si="25"/>
        <v>0</v>
      </c>
      <c r="L111" s="172">
        <f t="shared" si="25"/>
        <v>6833</v>
      </c>
      <c r="M111" s="172">
        <f t="shared" si="25"/>
        <v>400</v>
      </c>
      <c r="N111" s="172">
        <f t="shared" si="25"/>
        <v>7233</v>
      </c>
      <c r="O111" s="178"/>
      <c r="P111" s="92"/>
    </row>
    <row r="112" spans="1:16" ht="63" x14ac:dyDescent="0.2">
      <c r="A112" s="42"/>
      <c r="B112" s="168" t="s">
        <v>135</v>
      </c>
      <c r="C112" s="169" t="s">
        <v>139</v>
      </c>
      <c r="D112" s="170" t="s">
        <v>26</v>
      </c>
      <c r="E112" s="171"/>
      <c r="F112" s="172">
        <f t="shared" si="25"/>
        <v>6833</v>
      </c>
      <c r="G112" s="172">
        <f t="shared" si="25"/>
        <v>400</v>
      </c>
      <c r="H112" s="172">
        <f t="shared" si="25"/>
        <v>7233</v>
      </c>
      <c r="I112" s="188">
        <f t="shared" si="25"/>
        <v>0</v>
      </c>
      <c r="J112" s="189"/>
      <c r="K112" s="188">
        <f t="shared" si="25"/>
        <v>0</v>
      </c>
      <c r="L112" s="172">
        <f t="shared" si="25"/>
        <v>6833</v>
      </c>
      <c r="M112" s="172">
        <f t="shared" si="25"/>
        <v>400</v>
      </c>
      <c r="N112" s="172">
        <f t="shared" si="25"/>
        <v>7233</v>
      </c>
      <c r="O112" s="178"/>
      <c r="P112" s="92"/>
    </row>
    <row r="113" spans="1:17" ht="31.5" x14ac:dyDescent="0.2">
      <c r="A113" s="42"/>
      <c r="B113" s="168" t="s">
        <v>35</v>
      </c>
      <c r="C113" s="169" t="s">
        <v>139</v>
      </c>
      <c r="D113" s="170" t="s">
        <v>36</v>
      </c>
      <c r="E113" s="171"/>
      <c r="F113" s="172">
        <v>6833</v>
      </c>
      <c r="G113" s="172">
        <f>10+390</f>
        <v>400</v>
      </c>
      <c r="H113" s="172">
        <f>6833+G113</f>
        <v>7233</v>
      </c>
      <c r="I113" s="188">
        <v>0</v>
      </c>
      <c r="J113" s="189"/>
      <c r="K113" s="188">
        <v>0</v>
      </c>
      <c r="L113" s="172">
        <f>SUM(F113)</f>
        <v>6833</v>
      </c>
      <c r="M113" s="172">
        <f>SUM(G113)</f>
        <v>400</v>
      </c>
      <c r="N113" s="172">
        <f>SUM(H113)</f>
        <v>7233</v>
      </c>
      <c r="O113" s="178"/>
      <c r="P113" s="92"/>
    </row>
    <row r="114" spans="1:17" ht="18.75" x14ac:dyDescent="0.2">
      <c r="A114" s="49"/>
      <c r="B114" s="190" t="s">
        <v>140</v>
      </c>
      <c r="C114" s="191" t="s">
        <v>141</v>
      </c>
      <c r="D114" s="192" t="s">
        <v>26</v>
      </c>
      <c r="E114" s="193"/>
      <c r="F114" s="194">
        <f>F115+F124+F119+F127</f>
        <v>17706.8</v>
      </c>
      <c r="G114" s="172">
        <f>SUM(G119)</f>
        <v>296.39999999999998</v>
      </c>
      <c r="H114" s="194">
        <f>H115+H124+H119+H127</f>
        <v>18003.2</v>
      </c>
      <c r="I114" s="195">
        <f>I115+I124</f>
        <v>0</v>
      </c>
      <c r="J114" s="194">
        <f>J115+J124</f>
        <v>0</v>
      </c>
      <c r="K114" s="195">
        <f>K115+K124</f>
        <v>0</v>
      </c>
      <c r="L114" s="194">
        <f>L115+L124+L119+L127</f>
        <v>17706.8</v>
      </c>
      <c r="M114" s="194">
        <f>M115+M124+M119+M127+M122</f>
        <v>296.39999999999998</v>
      </c>
      <c r="N114" s="194">
        <f>N115+N124+N119+N127</f>
        <v>18003.2</v>
      </c>
      <c r="O114" s="178"/>
      <c r="P114" s="92"/>
      <c r="Q114" s="55"/>
    </row>
    <row r="115" spans="1:17" ht="47.25" x14ac:dyDescent="0.2">
      <c r="A115" s="42"/>
      <c r="B115" s="168" t="s">
        <v>142</v>
      </c>
      <c r="C115" s="169" t="s">
        <v>143</v>
      </c>
      <c r="D115" s="170" t="s">
        <v>26</v>
      </c>
      <c r="E115" s="171"/>
      <c r="F115" s="172">
        <f>F116</f>
        <v>9124.6</v>
      </c>
      <c r="G115" s="172">
        <f>G116</f>
        <v>0</v>
      </c>
      <c r="H115" s="172">
        <f>H116</f>
        <v>9124.6</v>
      </c>
      <c r="I115" s="188">
        <f>I116</f>
        <v>0</v>
      </c>
      <c r="J115" s="189"/>
      <c r="K115" s="188">
        <f>K116</f>
        <v>0</v>
      </c>
      <c r="L115" s="172">
        <f>L116</f>
        <v>9124.6</v>
      </c>
      <c r="M115" s="172">
        <f>M116</f>
        <v>0</v>
      </c>
      <c r="N115" s="172">
        <f>N116</f>
        <v>9124.6</v>
      </c>
      <c r="O115" s="178"/>
      <c r="P115" s="92"/>
    </row>
    <row r="116" spans="1:17" ht="31.5" x14ac:dyDescent="0.2">
      <c r="A116" s="42"/>
      <c r="B116" s="168" t="s">
        <v>39</v>
      </c>
      <c r="C116" s="169" t="s">
        <v>144</v>
      </c>
      <c r="D116" s="170" t="s">
        <v>26</v>
      </c>
      <c r="E116" s="171"/>
      <c r="F116" s="172">
        <f>F117+F118</f>
        <v>9124.6</v>
      </c>
      <c r="G116" s="172">
        <f>G117+G118</f>
        <v>0</v>
      </c>
      <c r="H116" s="172">
        <f>H117+H118</f>
        <v>9124.6</v>
      </c>
      <c r="I116" s="188">
        <f>I117+I118</f>
        <v>0</v>
      </c>
      <c r="J116" s="189"/>
      <c r="K116" s="188">
        <f>K117+K118</f>
        <v>0</v>
      </c>
      <c r="L116" s="172">
        <f>L117+L118</f>
        <v>9124.6</v>
      </c>
      <c r="M116" s="172">
        <f>M117+M118</f>
        <v>0</v>
      </c>
      <c r="N116" s="172">
        <f>N117+N118</f>
        <v>9124.6</v>
      </c>
      <c r="O116" s="178"/>
      <c r="P116" s="92"/>
    </row>
    <row r="117" spans="1:17" ht="64.900000000000006" customHeight="1" x14ac:dyDescent="0.2">
      <c r="A117" s="42"/>
      <c r="B117" s="168" t="s">
        <v>31</v>
      </c>
      <c r="C117" s="169" t="s">
        <v>144</v>
      </c>
      <c r="D117" s="170" t="s">
        <v>32</v>
      </c>
      <c r="E117" s="171"/>
      <c r="F117" s="172">
        <v>8871.2000000000007</v>
      </c>
      <c r="G117" s="172"/>
      <c r="H117" s="172">
        <f>SUM(F117)</f>
        <v>8871.2000000000007</v>
      </c>
      <c r="I117" s="188">
        <v>0</v>
      </c>
      <c r="J117" s="189"/>
      <c r="K117" s="188">
        <v>0</v>
      </c>
      <c r="L117" s="172">
        <f>SUM(F117)</f>
        <v>8871.2000000000007</v>
      </c>
      <c r="M117" s="172">
        <f>SUM(G117)</f>
        <v>0</v>
      </c>
      <c r="N117" s="172">
        <f>SUM(H117)</f>
        <v>8871.2000000000007</v>
      </c>
      <c r="O117" s="178"/>
      <c r="P117" s="92"/>
    </row>
    <row r="118" spans="1:17" ht="31.5" x14ac:dyDescent="0.2">
      <c r="A118" s="42"/>
      <c r="B118" s="168" t="s">
        <v>35</v>
      </c>
      <c r="C118" s="169" t="s">
        <v>144</v>
      </c>
      <c r="D118" s="170" t="s">
        <v>36</v>
      </c>
      <c r="E118" s="171"/>
      <c r="F118" s="172">
        <v>253.4</v>
      </c>
      <c r="G118" s="172"/>
      <c r="H118" s="172">
        <f>SUM(F118)</f>
        <v>253.4</v>
      </c>
      <c r="I118" s="188">
        <v>0</v>
      </c>
      <c r="J118" s="189"/>
      <c r="K118" s="188">
        <v>0</v>
      </c>
      <c r="L118" s="172">
        <f t="shared" ref="L118:N122" si="26">SUM(F118)</f>
        <v>253.4</v>
      </c>
      <c r="M118" s="172">
        <f t="shared" si="26"/>
        <v>0</v>
      </c>
      <c r="N118" s="172">
        <f t="shared" si="26"/>
        <v>253.4</v>
      </c>
      <c r="O118" s="178"/>
      <c r="P118" s="92"/>
    </row>
    <row r="119" spans="1:17" ht="18.75" x14ac:dyDescent="0.2">
      <c r="A119" s="42"/>
      <c r="B119" s="168" t="s">
        <v>145</v>
      </c>
      <c r="C119" s="169" t="s">
        <v>146</v>
      </c>
      <c r="D119" s="170"/>
      <c r="E119" s="171"/>
      <c r="F119" s="172">
        <f>SUM(F121)</f>
        <v>600</v>
      </c>
      <c r="G119" s="172">
        <v>296.39999999999998</v>
      </c>
      <c r="H119" s="172">
        <f>SUM(H121)</f>
        <v>896.4</v>
      </c>
      <c r="I119" s="188"/>
      <c r="J119" s="189"/>
      <c r="K119" s="188"/>
      <c r="L119" s="172">
        <f t="shared" si="26"/>
        <v>600</v>
      </c>
      <c r="M119" s="172">
        <f t="shared" si="26"/>
        <v>296.39999999999998</v>
      </c>
      <c r="N119" s="172">
        <f t="shared" si="26"/>
        <v>896.4</v>
      </c>
      <c r="O119" s="178"/>
      <c r="P119" s="92"/>
    </row>
    <row r="120" spans="1:17" ht="18.75" x14ac:dyDescent="0.2">
      <c r="A120" s="42"/>
      <c r="B120" s="168" t="s">
        <v>147</v>
      </c>
      <c r="C120" s="169" t="s">
        <v>148</v>
      </c>
      <c r="D120" s="170"/>
      <c r="E120" s="171"/>
      <c r="F120" s="172">
        <v>600</v>
      </c>
      <c r="G120" s="172">
        <v>296.39999999999998</v>
      </c>
      <c r="H120" s="172">
        <f>SUM(F120)+G120</f>
        <v>896.4</v>
      </c>
      <c r="I120" s="188"/>
      <c r="J120" s="189"/>
      <c r="K120" s="188"/>
      <c r="L120" s="172">
        <f t="shared" si="26"/>
        <v>600</v>
      </c>
      <c r="M120" s="172">
        <f t="shared" si="26"/>
        <v>296.39999999999998</v>
      </c>
      <c r="N120" s="172">
        <f t="shared" si="26"/>
        <v>896.4</v>
      </c>
      <c r="O120" s="178"/>
      <c r="P120" s="92"/>
    </row>
    <row r="121" spans="1:17" ht="24" customHeight="1" x14ac:dyDescent="0.2">
      <c r="A121" s="42"/>
      <c r="B121" s="168" t="s">
        <v>35</v>
      </c>
      <c r="C121" s="169" t="s">
        <v>148</v>
      </c>
      <c r="D121" s="170" t="s">
        <v>36</v>
      </c>
      <c r="E121" s="171"/>
      <c r="F121" s="172">
        <v>600</v>
      </c>
      <c r="G121" s="172">
        <v>296.39999999999998</v>
      </c>
      <c r="H121" s="172">
        <f>SUM(F121)+G121</f>
        <v>896.4</v>
      </c>
      <c r="I121" s="188"/>
      <c r="J121" s="189"/>
      <c r="K121" s="188"/>
      <c r="L121" s="172">
        <f t="shared" si="26"/>
        <v>600</v>
      </c>
      <c r="M121" s="172">
        <f t="shared" si="26"/>
        <v>296.39999999999998</v>
      </c>
      <c r="N121" s="172">
        <f t="shared" si="26"/>
        <v>896.4</v>
      </c>
      <c r="O121" s="178"/>
      <c r="P121" s="92"/>
    </row>
    <row r="122" spans="1:17" ht="31.5" hidden="1" x14ac:dyDescent="0.2">
      <c r="A122" s="42"/>
      <c r="B122" s="168" t="s">
        <v>488</v>
      </c>
      <c r="C122" s="169" t="s">
        <v>487</v>
      </c>
      <c r="D122" s="170"/>
      <c r="E122" s="171"/>
      <c r="F122" s="172"/>
      <c r="G122" s="172"/>
      <c r="H122" s="172">
        <f>SUM(G122)</f>
        <v>0</v>
      </c>
      <c r="I122" s="188"/>
      <c r="J122" s="189"/>
      <c r="K122" s="188"/>
      <c r="L122" s="172"/>
      <c r="M122" s="172">
        <f>SUM(G122)</f>
        <v>0</v>
      </c>
      <c r="N122" s="172">
        <f t="shared" si="26"/>
        <v>0</v>
      </c>
      <c r="O122" s="178"/>
      <c r="P122" s="92"/>
    </row>
    <row r="123" spans="1:17" ht="31.5" hidden="1" x14ac:dyDescent="0.2">
      <c r="A123" s="42"/>
      <c r="B123" s="168" t="s">
        <v>131</v>
      </c>
      <c r="C123" s="169" t="s">
        <v>487</v>
      </c>
      <c r="D123" s="170" t="s">
        <v>132</v>
      </c>
      <c r="E123" s="171"/>
      <c r="F123" s="172"/>
      <c r="G123" s="172"/>
      <c r="H123" s="172">
        <f>SUM(G123)</f>
        <v>0</v>
      </c>
      <c r="I123" s="188"/>
      <c r="J123" s="189"/>
      <c r="K123" s="188"/>
      <c r="L123" s="172"/>
      <c r="M123" s="172">
        <f>SUM(G123)</f>
        <v>0</v>
      </c>
      <c r="N123" s="172">
        <f>SUM(H123)</f>
        <v>0</v>
      </c>
      <c r="O123" s="178"/>
      <c r="P123" s="92"/>
    </row>
    <row r="124" spans="1:17" ht="47.25" x14ac:dyDescent="0.2">
      <c r="A124" s="42"/>
      <c r="B124" s="168" t="s">
        <v>149</v>
      </c>
      <c r="C124" s="169" t="s">
        <v>150</v>
      </c>
      <c r="D124" s="170" t="s">
        <v>26</v>
      </c>
      <c r="E124" s="171"/>
      <c r="F124" s="172">
        <f t="shared" ref="F124:N125" si="27">F125</f>
        <v>7530.9</v>
      </c>
      <c r="G124" s="172">
        <f t="shared" si="27"/>
        <v>0</v>
      </c>
      <c r="H124" s="172">
        <f t="shared" si="27"/>
        <v>7530.9</v>
      </c>
      <c r="I124" s="188">
        <f t="shared" si="27"/>
        <v>0</v>
      </c>
      <c r="J124" s="189"/>
      <c r="K124" s="188">
        <f t="shared" si="27"/>
        <v>0</v>
      </c>
      <c r="L124" s="172">
        <f t="shared" si="27"/>
        <v>7530.9</v>
      </c>
      <c r="M124" s="172">
        <f t="shared" si="27"/>
        <v>0</v>
      </c>
      <c r="N124" s="172">
        <f t="shared" si="27"/>
        <v>7530.9</v>
      </c>
      <c r="O124" s="178"/>
      <c r="P124" s="92"/>
    </row>
    <row r="125" spans="1:17" ht="31.5" x14ac:dyDescent="0.2">
      <c r="A125" s="42"/>
      <c r="B125" s="168" t="s">
        <v>39</v>
      </c>
      <c r="C125" s="169" t="s">
        <v>151</v>
      </c>
      <c r="D125" s="170" t="s">
        <v>26</v>
      </c>
      <c r="E125" s="171"/>
      <c r="F125" s="172">
        <f t="shared" si="27"/>
        <v>7530.9</v>
      </c>
      <c r="G125" s="172">
        <f t="shared" si="27"/>
        <v>0</v>
      </c>
      <c r="H125" s="172">
        <f t="shared" si="27"/>
        <v>7530.9</v>
      </c>
      <c r="I125" s="188">
        <f t="shared" si="27"/>
        <v>0</v>
      </c>
      <c r="J125" s="189"/>
      <c r="K125" s="188">
        <f t="shared" si="27"/>
        <v>0</v>
      </c>
      <c r="L125" s="172">
        <f t="shared" si="27"/>
        <v>7530.9</v>
      </c>
      <c r="M125" s="172">
        <f t="shared" si="27"/>
        <v>0</v>
      </c>
      <c r="N125" s="172">
        <f t="shared" si="27"/>
        <v>7530.9</v>
      </c>
      <c r="O125" s="178"/>
      <c r="P125" s="92"/>
    </row>
    <row r="126" spans="1:17" ht="31.5" x14ac:dyDescent="0.2">
      <c r="A126" s="42"/>
      <c r="B126" s="168" t="s">
        <v>74</v>
      </c>
      <c r="C126" s="169" t="s">
        <v>151</v>
      </c>
      <c r="D126" s="170" t="s">
        <v>75</v>
      </c>
      <c r="E126" s="171"/>
      <c r="F126" s="172">
        <v>7530.9</v>
      </c>
      <c r="G126" s="172"/>
      <c r="H126" s="172">
        <f>SUM(F126)</f>
        <v>7530.9</v>
      </c>
      <c r="I126" s="188">
        <v>0</v>
      </c>
      <c r="J126" s="189"/>
      <c r="K126" s="188">
        <v>0</v>
      </c>
      <c r="L126" s="172">
        <f>SUM(F126)</f>
        <v>7530.9</v>
      </c>
      <c r="M126" s="172">
        <f>SUM(G126)</f>
        <v>0</v>
      </c>
      <c r="N126" s="172">
        <f>SUM(L126+M126)</f>
        <v>7530.9</v>
      </c>
      <c r="O126" s="178"/>
      <c r="P126" s="92"/>
    </row>
    <row r="127" spans="1:17" ht="31.5" x14ac:dyDescent="0.2">
      <c r="A127" s="42"/>
      <c r="B127" s="200" t="s">
        <v>152</v>
      </c>
      <c r="C127" s="169" t="s">
        <v>153</v>
      </c>
      <c r="D127" s="170"/>
      <c r="E127" s="171"/>
      <c r="F127" s="201">
        <v>451.3</v>
      </c>
      <c r="G127" s="172">
        <f>SUM(G130)+G129</f>
        <v>0</v>
      </c>
      <c r="H127" s="172">
        <f>SUM(F127:G127)</f>
        <v>451.3</v>
      </c>
      <c r="I127" s="188"/>
      <c r="J127" s="189"/>
      <c r="K127" s="188"/>
      <c r="L127" s="172">
        <f>SUM(F128)</f>
        <v>451.3</v>
      </c>
      <c r="M127" s="172">
        <f t="shared" ref="M127:N130" si="28">SUM(G127)</f>
        <v>0</v>
      </c>
      <c r="N127" s="172">
        <f t="shared" si="28"/>
        <v>451.3</v>
      </c>
      <c r="O127" s="178"/>
      <c r="P127" s="92"/>
    </row>
    <row r="128" spans="1:17" ht="31.5" x14ac:dyDescent="0.2">
      <c r="A128" s="42"/>
      <c r="B128" s="168" t="s">
        <v>154</v>
      </c>
      <c r="C128" s="169" t="s">
        <v>155</v>
      </c>
      <c r="D128" s="170"/>
      <c r="E128" s="171"/>
      <c r="F128" s="201">
        <v>451.3</v>
      </c>
      <c r="G128" s="172">
        <f>G129+G130</f>
        <v>0</v>
      </c>
      <c r="H128" s="172">
        <f>SUM(F128:G128)</f>
        <v>451.3</v>
      </c>
      <c r="I128" s="188"/>
      <c r="J128" s="189"/>
      <c r="K128" s="188"/>
      <c r="L128" s="201">
        <v>1070</v>
      </c>
      <c r="M128" s="172">
        <f t="shared" si="28"/>
        <v>0</v>
      </c>
      <c r="N128" s="172">
        <f>SUM(H128)</f>
        <v>451.3</v>
      </c>
      <c r="O128" s="178"/>
      <c r="P128" s="92"/>
    </row>
    <row r="129" spans="1:17" ht="31.5" x14ac:dyDescent="0.2">
      <c r="A129" s="42"/>
      <c r="B129" s="168" t="s">
        <v>35</v>
      </c>
      <c r="C129" s="169" t="s">
        <v>155</v>
      </c>
      <c r="D129" s="170" t="s">
        <v>36</v>
      </c>
      <c r="E129" s="171"/>
      <c r="F129" s="201">
        <v>151.30000000000001</v>
      </c>
      <c r="G129" s="172">
        <v>300</v>
      </c>
      <c r="H129" s="172">
        <f>SUM(F129)+G129</f>
        <v>451.3</v>
      </c>
      <c r="I129" s="188"/>
      <c r="J129" s="189"/>
      <c r="K129" s="188"/>
      <c r="L129" s="172">
        <f>SUM(F129)</f>
        <v>151.30000000000001</v>
      </c>
      <c r="M129" s="172">
        <f>SUM(G129)</f>
        <v>300</v>
      </c>
      <c r="N129" s="172">
        <f t="shared" si="28"/>
        <v>451.3</v>
      </c>
      <c r="O129" s="178"/>
      <c r="P129" s="92"/>
    </row>
    <row r="130" spans="1:17" ht="47.25" customHeight="1" x14ac:dyDescent="0.2">
      <c r="A130" s="42"/>
      <c r="B130" s="168" t="s">
        <v>131</v>
      </c>
      <c r="C130" s="169" t="s">
        <v>155</v>
      </c>
      <c r="D130" s="170" t="s">
        <v>132</v>
      </c>
      <c r="E130" s="171"/>
      <c r="F130" s="172">
        <v>300</v>
      </c>
      <c r="G130" s="172">
        <v>-300</v>
      </c>
      <c r="H130" s="172">
        <f>SUM(F130)+G130</f>
        <v>0</v>
      </c>
      <c r="I130" s="188"/>
      <c r="J130" s="189"/>
      <c r="K130" s="188"/>
      <c r="L130" s="172">
        <f>SUM(F130)</f>
        <v>300</v>
      </c>
      <c r="M130" s="172">
        <f t="shared" si="28"/>
        <v>-300</v>
      </c>
      <c r="N130" s="172">
        <f t="shared" si="28"/>
        <v>0</v>
      </c>
      <c r="O130" s="178"/>
      <c r="P130" s="92"/>
    </row>
    <row r="131" spans="1:17" ht="18.75" hidden="1" x14ac:dyDescent="0.2">
      <c r="A131" s="42"/>
      <c r="B131" s="168"/>
      <c r="C131" s="169"/>
      <c r="D131" s="170"/>
      <c r="E131" s="171"/>
      <c r="F131" s="172"/>
      <c r="G131" s="172"/>
      <c r="H131" s="172"/>
      <c r="I131" s="188"/>
      <c r="J131" s="189"/>
      <c r="K131" s="188"/>
      <c r="L131" s="172"/>
      <c r="M131" s="172">
        <f t="shared" ref="M131:N134" si="29">SUM(G131)</f>
        <v>0</v>
      </c>
      <c r="N131" s="172">
        <f t="shared" si="29"/>
        <v>0</v>
      </c>
      <c r="O131" s="178"/>
      <c r="P131" s="92"/>
    </row>
    <row r="132" spans="1:17" ht="18.75" hidden="1" x14ac:dyDescent="0.2">
      <c r="A132" s="42"/>
      <c r="B132" s="168"/>
      <c r="C132" s="169"/>
      <c r="D132" s="170"/>
      <c r="E132" s="171"/>
      <c r="F132" s="172"/>
      <c r="G132" s="172"/>
      <c r="H132" s="172"/>
      <c r="I132" s="188"/>
      <c r="J132" s="189"/>
      <c r="K132" s="188"/>
      <c r="L132" s="172"/>
      <c r="M132" s="172">
        <f t="shared" si="29"/>
        <v>0</v>
      </c>
      <c r="N132" s="172">
        <f t="shared" si="29"/>
        <v>0</v>
      </c>
      <c r="O132" s="178"/>
      <c r="P132" s="92"/>
    </row>
    <row r="133" spans="1:17" ht="18.75" hidden="1" x14ac:dyDescent="0.2">
      <c r="A133" s="42"/>
      <c r="B133" s="168"/>
      <c r="C133" s="169"/>
      <c r="D133" s="170"/>
      <c r="E133" s="171"/>
      <c r="F133" s="172"/>
      <c r="G133" s="172"/>
      <c r="H133" s="172"/>
      <c r="I133" s="188"/>
      <c r="J133" s="189"/>
      <c r="K133" s="188"/>
      <c r="L133" s="172"/>
      <c r="M133" s="172">
        <f t="shared" si="29"/>
        <v>0</v>
      </c>
      <c r="N133" s="172">
        <f t="shared" si="29"/>
        <v>0</v>
      </c>
      <c r="O133" s="178"/>
      <c r="P133" s="92"/>
    </row>
    <row r="134" spans="1:17" ht="31.5" hidden="1" x14ac:dyDescent="0.2">
      <c r="A134" s="42"/>
      <c r="B134" s="168" t="s">
        <v>131</v>
      </c>
      <c r="C134" s="169"/>
      <c r="D134" s="170" t="s">
        <v>132</v>
      </c>
      <c r="E134" s="171"/>
      <c r="F134" s="172"/>
      <c r="G134" s="172"/>
      <c r="H134" s="172">
        <f>SUM(G134)</f>
        <v>0</v>
      </c>
      <c r="I134" s="188"/>
      <c r="J134" s="189"/>
      <c r="K134" s="188"/>
      <c r="L134" s="172"/>
      <c r="M134" s="172">
        <f t="shared" si="29"/>
        <v>0</v>
      </c>
      <c r="N134" s="172">
        <f t="shared" si="29"/>
        <v>0</v>
      </c>
      <c r="O134" s="178"/>
      <c r="P134" s="92"/>
    </row>
    <row r="135" spans="1:17" ht="31.5" x14ac:dyDescent="0.2">
      <c r="A135" s="19" t="s">
        <v>156</v>
      </c>
      <c r="B135" s="182" t="s">
        <v>157</v>
      </c>
      <c r="C135" s="183" t="s">
        <v>158</v>
      </c>
      <c r="D135" s="184" t="s">
        <v>26</v>
      </c>
      <c r="E135" s="185"/>
      <c r="F135" s="186">
        <f t="shared" ref="F135:N135" si="30">F136+F143+F154+F186+F192</f>
        <v>210112.90000000002</v>
      </c>
      <c r="G135" s="186">
        <f>G136+G143+G154+G186+G192</f>
        <v>5731.9999999999982</v>
      </c>
      <c r="H135" s="186">
        <f t="shared" si="30"/>
        <v>215844.90000000002</v>
      </c>
      <c r="I135" s="187">
        <f t="shared" si="30"/>
        <v>2313229.8000000003</v>
      </c>
      <c r="J135" s="186">
        <f t="shared" si="30"/>
        <v>4081.1000000000004</v>
      </c>
      <c r="K135" s="187">
        <f t="shared" si="30"/>
        <v>2317310.9000000004</v>
      </c>
      <c r="L135" s="186">
        <f t="shared" si="30"/>
        <v>2523342.7000000002</v>
      </c>
      <c r="M135" s="186">
        <f t="shared" si="30"/>
        <v>9813.0999999999985</v>
      </c>
      <c r="N135" s="186">
        <f t="shared" si="30"/>
        <v>2533155.8000000003</v>
      </c>
      <c r="O135" s="178"/>
      <c r="P135" s="92"/>
      <c r="Q135" s="25"/>
    </row>
    <row r="136" spans="1:17" ht="20.45" customHeight="1" x14ac:dyDescent="0.2">
      <c r="A136" s="49"/>
      <c r="B136" s="190" t="s">
        <v>159</v>
      </c>
      <c r="C136" s="191" t="s">
        <v>160</v>
      </c>
      <c r="D136" s="192" t="s">
        <v>26</v>
      </c>
      <c r="E136" s="193"/>
      <c r="F136" s="194">
        <f t="shared" ref="F136:K138" si="31">F137</f>
        <v>2930.2</v>
      </c>
      <c r="G136" s="194">
        <f>G137+G140</f>
        <v>-1046</v>
      </c>
      <c r="H136" s="194">
        <f>H137+H140</f>
        <v>1884.1999999999998</v>
      </c>
      <c r="I136" s="195">
        <f t="shared" si="31"/>
        <v>3074.2</v>
      </c>
      <c r="J136" s="196"/>
      <c r="K136" s="195">
        <f t="shared" si="31"/>
        <v>3074.2</v>
      </c>
      <c r="L136" s="194">
        <f>L137</f>
        <v>6004.4</v>
      </c>
      <c r="M136" s="194">
        <f>SUM(G136)</f>
        <v>-1046</v>
      </c>
      <c r="N136" s="194">
        <f>SUM(N137+N140)</f>
        <v>4958.3999999999996</v>
      </c>
      <c r="O136" s="178"/>
      <c r="P136" s="92"/>
    </row>
    <row r="137" spans="1:17" ht="31.5" x14ac:dyDescent="0.2">
      <c r="A137" s="42"/>
      <c r="B137" s="168" t="s">
        <v>161</v>
      </c>
      <c r="C137" s="169" t="s">
        <v>162</v>
      </c>
      <c r="D137" s="170" t="s">
        <v>26</v>
      </c>
      <c r="E137" s="171"/>
      <c r="F137" s="172">
        <f t="shared" si="31"/>
        <v>2930.2</v>
      </c>
      <c r="G137" s="172">
        <f t="shared" si="31"/>
        <v>-1046</v>
      </c>
      <c r="H137" s="172">
        <f t="shared" si="31"/>
        <v>1884.1999999999998</v>
      </c>
      <c r="I137" s="188">
        <f t="shared" si="31"/>
        <v>3074.2</v>
      </c>
      <c r="J137" s="189"/>
      <c r="K137" s="188">
        <f t="shared" si="31"/>
        <v>3074.2</v>
      </c>
      <c r="L137" s="172">
        <f t="shared" ref="L137:N138" si="32">L138</f>
        <v>6004.4</v>
      </c>
      <c r="M137" s="172">
        <f t="shared" si="32"/>
        <v>-1046</v>
      </c>
      <c r="N137" s="172">
        <f t="shared" si="32"/>
        <v>4958.3999999999996</v>
      </c>
      <c r="O137" s="178"/>
      <c r="P137" s="92"/>
    </row>
    <row r="138" spans="1:17" ht="32.25" customHeight="1" x14ac:dyDescent="0.2">
      <c r="A138" s="42"/>
      <c r="B138" s="168" t="s">
        <v>163</v>
      </c>
      <c r="C138" s="169" t="s">
        <v>164</v>
      </c>
      <c r="D138" s="170" t="s">
        <v>26</v>
      </c>
      <c r="E138" s="171"/>
      <c r="F138" s="172">
        <f t="shared" si="31"/>
        <v>2930.2</v>
      </c>
      <c r="G138" s="172">
        <f t="shared" si="31"/>
        <v>-1046</v>
      </c>
      <c r="H138" s="172">
        <f t="shared" si="31"/>
        <v>1884.1999999999998</v>
      </c>
      <c r="I138" s="188">
        <f t="shared" si="31"/>
        <v>3074.2</v>
      </c>
      <c r="J138" s="189"/>
      <c r="K138" s="188">
        <f t="shared" si="31"/>
        <v>3074.2</v>
      </c>
      <c r="L138" s="172">
        <f t="shared" si="32"/>
        <v>6004.4</v>
      </c>
      <c r="M138" s="172">
        <f t="shared" si="32"/>
        <v>-1046</v>
      </c>
      <c r="N138" s="172">
        <f t="shared" si="32"/>
        <v>4958.3999999999996</v>
      </c>
      <c r="O138" s="178"/>
      <c r="P138" s="92"/>
    </row>
    <row r="139" spans="1:17" ht="18.75" x14ac:dyDescent="0.2">
      <c r="A139" s="42"/>
      <c r="B139" s="168" t="s">
        <v>54</v>
      </c>
      <c r="C139" s="169" t="s">
        <v>164</v>
      </c>
      <c r="D139" s="170" t="s">
        <v>55</v>
      </c>
      <c r="E139" s="171"/>
      <c r="F139" s="172">
        <v>2930.2</v>
      </c>
      <c r="G139" s="172">
        <v>-1046</v>
      </c>
      <c r="H139" s="172">
        <f>SUM(F139+G139)</f>
        <v>1884.1999999999998</v>
      </c>
      <c r="I139" s="188">
        <v>3074.2</v>
      </c>
      <c r="J139" s="189"/>
      <c r="K139" s="188">
        <v>3074.2</v>
      </c>
      <c r="L139" s="172">
        <f>2930.2+I139</f>
        <v>6004.4</v>
      </c>
      <c r="M139" s="172">
        <f>SUM(G139)</f>
        <v>-1046</v>
      </c>
      <c r="N139" s="172">
        <f>2930.2+K139+M139</f>
        <v>4958.3999999999996</v>
      </c>
      <c r="O139" s="178"/>
      <c r="P139" s="92"/>
    </row>
    <row r="140" spans="1:17" ht="0.75" customHeight="1" x14ac:dyDescent="0.2">
      <c r="A140" s="42"/>
      <c r="B140" s="168" t="s">
        <v>490</v>
      </c>
      <c r="C140" s="169" t="s">
        <v>489</v>
      </c>
      <c r="D140" s="170"/>
      <c r="E140" s="171"/>
      <c r="F140" s="172"/>
      <c r="G140" s="172">
        <f>SUM(G142)</f>
        <v>0</v>
      </c>
      <c r="H140" s="172">
        <f>SUM(H142)</f>
        <v>0</v>
      </c>
      <c r="I140" s="188"/>
      <c r="J140" s="189"/>
      <c r="K140" s="188"/>
      <c r="L140" s="172"/>
      <c r="M140" s="172">
        <f t="shared" ref="M140:N142" si="33">SUM(G140)</f>
        <v>0</v>
      </c>
      <c r="N140" s="172">
        <f t="shared" si="33"/>
        <v>0</v>
      </c>
      <c r="O140" s="178"/>
      <c r="P140" s="92"/>
    </row>
    <row r="141" spans="1:17" ht="47.25" hidden="1" x14ac:dyDescent="0.2">
      <c r="A141" s="42"/>
      <c r="B141" s="168" t="s">
        <v>492</v>
      </c>
      <c r="C141" s="169" t="s">
        <v>491</v>
      </c>
      <c r="D141" s="170"/>
      <c r="E141" s="171"/>
      <c r="F141" s="172"/>
      <c r="G141" s="172">
        <f>SUM(G142)</f>
        <v>0</v>
      </c>
      <c r="H141" s="172">
        <f>SUM(H142)</f>
        <v>0</v>
      </c>
      <c r="I141" s="188"/>
      <c r="J141" s="189"/>
      <c r="K141" s="188"/>
      <c r="L141" s="172"/>
      <c r="M141" s="172">
        <f t="shared" si="33"/>
        <v>0</v>
      </c>
      <c r="N141" s="172">
        <f t="shared" si="33"/>
        <v>0</v>
      </c>
      <c r="O141" s="178"/>
      <c r="P141" s="92"/>
    </row>
    <row r="142" spans="1:17" ht="31.5" hidden="1" x14ac:dyDescent="0.2">
      <c r="A142" s="42"/>
      <c r="B142" s="168" t="s">
        <v>131</v>
      </c>
      <c r="C142" s="169" t="s">
        <v>491</v>
      </c>
      <c r="D142" s="170" t="s">
        <v>132</v>
      </c>
      <c r="E142" s="171"/>
      <c r="F142" s="172"/>
      <c r="G142" s="172"/>
      <c r="H142" s="172">
        <f>SUM(G142)</f>
        <v>0</v>
      </c>
      <c r="I142" s="188"/>
      <c r="J142" s="189"/>
      <c r="K142" s="188"/>
      <c r="L142" s="172"/>
      <c r="M142" s="172">
        <f t="shared" si="33"/>
        <v>0</v>
      </c>
      <c r="N142" s="172">
        <f t="shared" si="33"/>
        <v>0</v>
      </c>
      <c r="O142" s="178"/>
      <c r="P142" s="92"/>
    </row>
    <row r="143" spans="1:17" ht="31.5" x14ac:dyDescent="0.2">
      <c r="A143" s="49"/>
      <c r="B143" s="190" t="s">
        <v>165</v>
      </c>
      <c r="C143" s="191" t="s">
        <v>166</v>
      </c>
      <c r="D143" s="192" t="s">
        <v>26</v>
      </c>
      <c r="E143" s="193"/>
      <c r="F143" s="194">
        <f t="shared" ref="F143:N143" si="34">F144</f>
        <v>14792.900000000001</v>
      </c>
      <c r="G143" s="194">
        <f t="shared" si="34"/>
        <v>-2171.9</v>
      </c>
      <c r="H143" s="194">
        <f t="shared" si="34"/>
        <v>12621</v>
      </c>
      <c r="I143" s="195">
        <f t="shared" si="34"/>
        <v>2301493.8000000003</v>
      </c>
      <c r="J143" s="194">
        <f t="shared" si="34"/>
        <v>1585.7000000000003</v>
      </c>
      <c r="K143" s="195">
        <f t="shared" si="34"/>
        <v>2303079.5</v>
      </c>
      <c r="L143" s="194">
        <f t="shared" si="34"/>
        <v>2316286.7000000002</v>
      </c>
      <c r="M143" s="194">
        <f t="shared" si="34"/>
        <v>-586.19999999999982</v>
      </c>
      <c r="N143" s="194">
        <f t="shared" si="34"/>
        <v>2315700.5</v>
      </c>
      <c r="O143" s="178"/>
      <c r="P143" s="92"/>
      <c r="Q143" s="55"/>
    </row>
    <row r="144" spans="1:17" ht="39.6" customHeight="1" x14ac:dyDescent="0.2">
      <c r="A144" s="42"/>
      <c r="B144" s="168" t="s">
        <v>167</v>
      </c>
      <c r="C144" s="169" t="s">
        <v>168</v>
      </c>
      <c r="D144" s="170" t="s">
        <v>26</v>
      </c>
      <c r="E144" s="171"/>
      <c r="F144" s="172">
        <f>F145+F148+F150+F152</f>
        <v>14792.900000000001</v>
      </c>
      <c r="G144" s="172">
        <f>SUM(G145+G152)+G148</f>
        <v>-2171.9</v>
      </c>
      <c r="H144" s="172">
        <f>H145+H148+H150+H152</f>
        <v>12621</v>
      </c>
      <c r="I144" s="188">
        <f t="shared" ref="I144:N144" si="35">I145+I148+I150+I152</f>
        <v>2301493.8000000003</v>
      </c>
      <c r="J144" s="172">
        <f>SUM(J148+J152)</f>
        <v>1585.7000000000003</v>
      </c>
      <c r="K144" s="188">
        <f t="shared" si="35"/>
        <v>2303079.5</v>
      </c>
      <c r="L144" s="172">
        <f t="shared" si="35"/>
        <v>2316286.7000000002</v>
      </c>
      <c r="M144" s="172">
        <f>SUM(G144+J144)</f>
        <v>-586.19999999999982</v>
      </c>
      <c r="N144" s="172">
        <f t="shared" si="35"/>
        <v>2315700.5</v>
      </c>
      <c r="O144" s="178"/>
      <c r="P144" s="92"/>
      <c r="Q144" s="48"/>
    </row>
    <row r="145" spans="1:17" ht="18.75" x14ac:dyDescent="0.2">
      <c r="A145" s="42"/>
      <c r="B145" s="168" t="s">
        <v>169</v>
      </c>
      <c r="C145" s="169" t="s">
        <v>170</v>
      </c>
      <c r="D145" s="170" t="s">
        <v>26</v>
      </c>
      <c r="E145" s="171"/>
      <c r="F145" s="172">
        <f>F146+F147</f>
        <v>2286.1</v>
      </c>
      <c r="G145" s="172">
        <f>G146+G147</f>
        <v>-2255.3000000000002</v>
      </c>
      <c r="H145" s="172">
        <f>H146+H147</f>
        <v>30.799999999999727</v>
      </c>
      <c r="I145" s="188">
        <f>I146</f>
        <v>1529.5</v>
      </c>
      <c r="J145" s="172">
        <f>J146</f>
        <v>0</v>
      </c>
      <c r="K145" s="188">
        <f>K146</f>
        <v>1529.5</v>
      </c>
      <c r="L145" s="172">
        <f>L146+F145</f>
        <v>3815.6</v>
      </c>
      <c r="M145" s="172">
        <f>M146+M147</f>
        <v>-2255.3000000000002</v>
      </c>
      <c r="N145" s="172">
        <f>N146+N147</f>
        <v>1560.2999999999997</v>
      </c>
      <c r="O145" s="178"/>
      <c r="P145" s="92"/>
    </row>
    <row r="146" spans="1:17" ht="31.5" x14ac:dyDescent="0.2">
      <c r="A146" s="42"/>
      <c r="B146" s="168" t="s">
        <v>35</v>
      </c>
      <c r="C146" s="169" t="s">
        <v>170</v>
      </c>
      <c r="D146" s="170" t="s">
        <v>36</v>
      </c>
      <c r="E146" s="171"/>
      <c r="F146" s="172">
        <v>0</v>
      </c>
      <c r="G146" s="172"/>
      <c r="H146" s="172">
        <f>SUM(F146+G146)</f>
        <v>0</v>
      </c>
      <c r="I146" s="188">
        <v>1529.5</v>
      </c>
      <c r="J146" s="189"/>
      <c r="K146" s="189">
        <f>SUM(I146)</f>
        <v>1529.5</v>
      </c>
      <c r="L146" s="172">
        <f>SUM(I146)</f>
        <v>1529.5</v>
      </c>
      <c r="M146" s="172">
        <f>SUM(G146+J146)</f>
        <v>0</v>
      </c>
      <c r="N146" s="172">
        <f>SUM(K146)</f>
        <v>1529.5</v>
      </c>
      <c r="O146" s="178"/>
      <c r="P146" s="92"/>
    </row>
    <row r="147" spans="1:17" ht="31.5" x14ac:dyDescent="0.2">
      <c r="A147" s="42"/>
      <c r="B147" s="168" t="s">
        <v>131</v>
      </c>
      <c r="C147" s="169" t="s">
        <v>170</v>
      </c>
      <c r="D147" s="170" t="s">
        <v>132</v>
      </c>
      <c r="E147" s="171"/>
      <c r="F147" s="172">
        <v>2286.1</v>
      </c>
      <c r="G147" s="172">
        <f>-2171.9-83.4</f>
        <v>-2255.3000000000002</v>
      </c>
      <c r="H147" s="172">
        <f>SUM(F147)+G147</f>
        <v>30.799999999999727</v>
      </c>
      <c r="I147" s="188"/>
      <c r="J147" s="189"/>
      <c r="K147" s="189"/>
      <c r="L147" s="172">
        <f>SUM(F147)</f>
        <v>2286.1</v>
      </c>
      <c r="M147" s="172">
        <f>SUM(G147)</f>
        <v>-2255.3000000000002</v>
      </c>
      <c r="N147" s="172">
        <f>SUM(H147)</f>
        <v>30.799999999999727</v>
      </c>
      <c r="O147" s="178"/>
      <c r="P147" s="92"/>
    </row>
    <row r="148" spans="1:17" ht="20.45" customHeight="1" x14ac:dyDescent="0.2">
      <c r="A148" s="42"/>
      <c r="B148" s="168" t="s">
        <v>171</v>
      </c>
      <c r="C148" s="169" t="s">
        <v>172</v>
      </c>
      <c r="D148" s="170" t="s">
        <v>26</v>
      </c>
      <c r="E148" s="171"/>
      <c r="F148" s="172">
        <f t="shared" ref="F148:N148" si="36">F149</f>
        <v>11457.5</v>
      </c>
      <c r="G148" s="172">
        <f t="shared" si="36"/>
        <v>0</v>
      </c>
      <c r="H148" s="172">
        <f t="shared" si="36"/>
        <v>11457.5</v>
      </c>
      <c r="I148" s="188">
        <f t="shared" si="36"/>
        <v>2280029.1</v>
      </c>
      <c r="J148" s="189">
        <f t="shared" si="36"/>
        <v>0</v>
      </c>
      <c r="K148" s="188">
        <f t="shared" si="36"/>
        <v>2280029.1</v>
      </c>
      <c r="L148" s="172">
        <f t="shared" si="36"/>
        <v>2291486.6</v>
      </c>
      <c r="M148" s="172">
        <f t="shared" si="36"/>
        <v>0</v>
      </c>
      <c r="N148" s="172">
        <f t="shared" si="36"/>
        <v>2291486.6</v>
      </c>
      <c r="O148" s="178"/>
      <c r="P148" s="92"/>
    </row>
    <row r="149" spans="1:17" ht="31.5" x14ac:dyDescent="0.2">
      <c r="A149" s="42"/>
      <c r="B149" s="168" t="s">
        <v>131</v>
      </c>
      <c r="C149" s="169" t="s">
        <v>172</v>
      </c>
      <c r="D149" s="170" t="s">
        <v>132</v>
      </c>
      <c r="E149" s="171"/>
      <c r="F149" s="172">
        <v>11457.5</v>
      </c>
      <c r="G149" s="172"/>
      <c r="H149" s="172">
        <f>11457.5+G149</f>
        <v>11457.5</v>
      </c>
      <c r="I149" s="188">
        <v>2280029.1</v>
      </c>
      <c r="J149" s="189"/>
      <c r="K149" s="188">
        <f>2280029.1+J149</f>
        <v>2280029.1</v>
      </c>
      <c r="L149" s="172">
        <f>11457.5+I149</f>
        <v>2291486.6</v>
      </c>
      <c r="M149" s="172">
        <f>SUM(G149)+J149</f>
        <v>0</v>
      </c>
      <c r="N149" s="172">
        <f>SUM(H149+K149)</f>
        <v>2291486.6</v>
      </c>
      <c r="O149" s="178"/>
      <c r="P149" s="92"/>
    </row>
    <row r="150" spans="1:17" ht="18.75" x14ac:dyDescent="0.2">
      <c r="A150" s="42"/>
      <c r="B150" s="168" t="s">
        <v>173</v>
      </c>
      <c r="C150" s="169" t="s">
        <v>174</v>
      </c>
      <c r="D150" s="170" t="s">
        <v>26</v>
      </c>
      <c r="E150" s="171"/>
      <c r="F150" s="172">
        <f>F151</f>
        <v>386.1</v>
      </c>
      <c r="G150" s="172">
        <f>G151</f>
        <v>0</v>
      </c>
      <c r="H150" s="172">
        <f>H151</f>
        <v>386.1</v>
      </c>
      <c r="I150" s="188">
        <f>I151</f>
        <v>7335.5</v>
      </c>
      <c r="J150" s="189"/>
      <c r="K150" s="188">
        <f>K151</f>
        <v>7335.5</v>
      </c>
      <c r="L150" s="172">
        <f>L151</f>
        <v>7721.6</v>
      </c>
      <c r="M150" s="172">
        <f>M151</f>
        <v>0</v>
      </c>
      <c r="N150" s="172">
        <f>N151</f>
        <v>7721.6</v>
      </c>
      <c r="O150" s="178"/>
      <c r="P150" s="92"/>
    </row>
    <row r="151" spans="1:17" ht="31.5" x14ac:dyDescent="0.2">
      <c r="A151" s="42"/>
      <c r="B151" s="168" t="s">
        <v>131</v>
      </c>
      <c r="C151" s="169" t="s">
        <v>174</v>
      </c>
      <c r="D151" s="170" t="s">
        <v>132</v>
      </c>
      <c r="E151" s="171"/>
      <c r="F151" s="172">
        <v>386.1</v>
      </c>
      <c r="G151" s="172"/>
      <c r="H151" s="172">
        <f>SUM(F151)</f>
        <v>386.1</v>
      </c>
      <c r="I151" s="188">
        <f>14200-6864.5</f>
        <v>7335.5</v>
      </c>
      <c r="J151" s="189"/>
      <c r="K151" s="188">
        <f>14200-6864.5</f>
        <v>7335.5</v>
      </c>
      <c r="L151" s="188">
        <f>SUM(F151+I151)</f>
        <v>7721.6</v>
      </c>
      <c r="M151" s="172">
        <f>SUM(G151)</f>
        <v>0</v>
      </c>
      <c r="N151" s="188">
        <f>SUM(H151+K151)</f>
        <v>7721.6</v>
      </c>
      <c r="O151" s="178"/>
      <c r="P151" s="92"/>
    </row>
    <row r="152" spans="1:17" ht="18.75" x14ac:dyDescent="0.2">
      <c r="A152" s="42"/>
      <c r="B152" s="168" t="s">
        <v>175</v>
      </c>
      <c r="C152" s="169" t="s">
        <v>176</v>
      </c>
      <c r="D152" s="170" t="s">
        <v>26</v>
      </c>
      <c r="E152" s="171"/>
      <c r="F152" s="172">
        <f>F153</f>
        <v>663.2</v>
      </c>
      <c r="G152" s="172">
        <f>G153</f>
        <v>83.4</v>
      </c>
      <c r="H152" s="172">
        <f>H153</f>
        <v>746.6</v>
      </c>
      <c r="I152" s="188">
        <f>I153</f>
        <v>12599.699999999999</v>
      </c>
      <c r="J152" s="189">
        <f>2171.9-177.8-408.4</f>
        <v>1585.7000000000003</v>
      </c>
      <c r="K152" s="188">
        <f>K153</f>
        <v>14185.4</v>
      </c>
      <c r="L152" s="172">
        <f>L153</f>
        <v>13262.9</v>
      </c>
      <c r="M152" s="172">
        <f>M153</f>
        <v>1669.1000000000004</v>
      </c>
      <c r="N152" s="172">
        <f>N153</f>
        <v>14932</v>
      </c>
      <c r="O152" s="178"/>
      <c r="P152" s="92"/>
    </row>
    <row r="153" spans="1:17" ht="31.5" x14ac:dyDescent="0.2">
      <c r="A153" s="42"/>
      <c r="B153" s="168" t="s">
        <v>131</v>
      </c>
      <c r="C153" s="169" t="s">
        <v>176</v>
      </c>
      <c r="D153" s="170" t="s">
        <v>132</v>
      </c>
      <c r="E153" s="171"/>
      <c r="F153" s="172">
        <v>663.2</v>
      </c>
      <c r="G153" s="172">
        <v>83.4</v>
      </c>
      <c r="H153" s="172">
        <f>663.2+83.4</f>
        <v>746.6</v>
      </c>
      <c r="I153" s="188">
        <f>11689.4+910.3</f>
        <v>12599.699999999999</v>
      </c>
      <c r="J153" s="189">
        <f>2171.9-177.8-408.4</f>
        <v>1585.7000000000003</v>
      </c>
      <c r="K153" s="188">
        <f>11689.4+910.3+J153</f>
        <v>14185.4</v>
      </c>
      <c r="L153" s="172">
        <f>SUM(F153+I153)</f>
        <v>13262.9</v>
      </c>
      <c r="M153" s="172">
        <f>SUM(J153)+G153</f>
        <v>1669.1000000000004</v>
      </c>
      <c r="N153" s="172">
        <f>SUM(H153+K153)</f>
        <v>14932</v>
      </c>
      <c r="O153" s="178"/>
      <c r="P153" s="92"/>
    </row>
    <row r="154" spans="1:17" ht="18.75" x14ac:dyDescent="0.2">
      <c r="A154" s="49"/>
      <c r="B154" s="190" t="s">
        <v>177</v>
      </c>
      <c r="C154" s="191" t="s">
        <v>178</v>
      </c>
      <c r="D154" s="192" t="s">
        <v>26</v>
      </c>
      <c r="E154" s="193"/>
      <c r="F154" s="194">
        <f t="shared" ref="F154:N154" si="37">F155</f>
        <v>48269.200000000004</v>
      </c>
      <c r="G154" s="194">
        <f t="shared" si="37"/>
        <v>6157.6999999999989</v>
      </c>
      <c r="H154" s="194">
        <f t="shared" si="37"/>
        <v>54426.9</v>
      </c>
      <c r="I154" s="195">
        <f t="shared" si="37"/>
        <v>8661.7999999999993</v>
      </c>
      <c r="J154" s="195">
        <f t="shared" si="37"/>
        <v>2495.4</v>
      </c>
      <c r="K154" s="195">
        <f t="shared" si="37"/>
        <v>11157.199999999999</v>
      </c>
      <c r="L154" s="194">
        <f t="shared" si="37"/>
        <v>56931.000000000007</v>
      </c>
      <c r="M154" s="194">
        <f t="shared" si="37"/>
        <v>8653.0999999999985</v>
      </c>
      <c r="N154" s="194">
        <f t="shared" si="37"/>
        <v>65584.100000000006</v>
      </c>
      <c r="O154" s="178"/>
      <c r="P154" s="92"/>
      <c r="Q154" s="55"/>
    </row>
    <row r="155" spans="1:17" ht="34.9" customHeight="1" x14ac:dyDescent="0.2">
      <c r="A155" s="42"/>
      <c r="B155" s="168" t="s">
        <v>179</v>
      </c>
      <c r="C155" s="169" t="s">
        <v>180</v>
      </c>
      <c r="D155" s="170" t="s">
        <v>26</v>
      </c>
      <c r="E155" s="171"/>
      <c r="F155" s="172">
        <f>F156+F158+F160+F162+F168+F170+F164+F180+F176</f>
        <v>48269.200000000004</v>
      </c>
      <c r="G155" s="172">
        <f>G156+G158+G160+G162+G164+G168+G170+G176+G178+G180</f>
        <v>6157.6999999999989</v>
      </c>
      <c r="H155" s="172">
        <f>H156+H158+H160+H162+H168+H170+H164+H180+H176</f>
        <v>54426.9</v>
      </c>
      <c r="I155" s="188">
        <f>SUM(I158+I166+I178+I180)+I176</f>
        <v>8661.7999999999993</v>
      </c>
      <c r="J155" s="189">
        <f>SUM(J180)+J176+J178+J166</f>
        <v>2495.4</v>
      </c>
      <c r="K155" s="188">
        <f>SUM(K158+K166+K178+K180)+K176</f>
        <v>11157.199999999999</v>
      </c>
      <c r="L155" s="172">
        <f>L156+L158+L160+L162+L168+L170+L164+L180+L176+L178+L166</f>
        <v>56931.000000000007</v>
      </c>
      <c r="M155" s="172">
        <f>M156+M158+M160+M162+M164+M168+M170+M176+M178+M180</f>
        <v>8653.0999999999985</v>
      </c>
      <c r="N155" s="172">
        <f>SUM(N156+N158+N160+N162+N164+N166+N168+N170+N176+N178+N180)</f>
        <v>65584.100000000006</v>
      </c>
      <c r="O155" s="178"/>
      <c r="P155" s="92"/>
      <c r="Q155" s="48"/>
    </row>
    <row r="156" spans="1:17" ht="18.75" x14ac:dyDescent="0.2">
      <c r="A156" s="42"/>
      <c r="B156" s="168" t="s">
        <v>181</v>
      </c>
      <c r="C156" s="169" t="s">
        <v>182</v>
      </c>
      <c r="D156" s="170" t="s">
        <v>26</v>
      </c>
      <c r="E156" s="171"/>
      <c r="F156" s="172">
        <f>F157</f>
        <v>19465.8</v>
      </c>
      <c r="G156" s="172">
        <f>G157</f>
        <v>2924.1</v>
      </c>
      <c r="H156" s="172">
        <f>H157</f>
        <v>22389.899999999998</v>
      </c>
      <c r="I156" s="188">
        <f>I157</f>
        <v>0</v>
      </c>
      <c r="J156" s="189"/>
      <c r="K156" s="188">
        <f>K157</f>
        <v>0</v>
      </c>
      <c r="L156" s="172">
        <f>L157</f>
        <v>19465.8</v>
      </c>
      <c r="M156" s="172">
        <f>M157</f>
        <v>2924.1</v>
      </c>
      <c r="N156" s="172">
        <f>N157</f>
        <v>22389.899999999998</v>
      </c>
      <c r="O156" s="178"/>
      <c r="P156" s="92"/>
    </row>
    <row r="157" spans="1:17" ht="31.5" x14ac:dyDescent="0.2">
      <c r="A157" s="42"/>
      <c r="B157" s="168" t="s">
        <v>35</v>
      </c>
      <c r="C157" s="169" t="s">
        <v>182</v>
      </c>
      <c r="D157" s="170" t="s">
        <v>36</v>
      </c>
      <c r="E157" s="171"/>
      <c r="F157" s="172">
        <v>19465.8</v>
      </c>
      <c r="G157" s="172">
        <f>1396.1+600+600+268+60</f>
        <v>2924.1</v>
      </c>
      <c r="H157" s="172">
        <f>SUM(F157)+G157</f>
        <v>22389.899999999998</v>
      </c>
      <c r="I157" s="188">
        <v>0</v>
      </c>
      <c r="J157" s="189"/>
      <c r="K157" s="188">
        <v>0</v>
      </c>
      <c r="L157" s="172">
        <f>SUM(F157)</f>
        <v>19465.8</v>
      </c>
      <c r="M157" s="172">
        <f>SUM(G157)</f>
        <v>2924.1</v>
      </c>
      <c r="N157" s="172">
        <f>SUM(H157)</f>
        <v>22389.899999999998</v>
      </c>
      <c r="O157" s="178"/>
      <c r="P157" s="92"/>
    </row>
    <row r="158" spans="1:17" ht="18.75" x14ac:dyDescent="0.2">
      <c r="A158" s="42"/>
      <c r="B158" s="168" t="s">
        <v>183</v>
      </c>
      <c r="C158" s="169" t="s">
        <v>184</v>
      </c>
      <c r="D158" s="170" t="s">
        <v>26</v>
      </c>
      <c r="E158" s="171"/>
      <c r="F158" s="172">
        <f t="shared" ref="F158:N158" si="38">F159</f>
        <v>10114.1</v>
      </c>
      <c r="G158" s="172">
        <f t="shared" si="38"/>
        <v>3836.7</v>
      </c>
      <c r="H158" s="172">
        <f t="shared" si="38"/>
        <v>13950.8</v>
      </c>
      <c r="I158" s="188">
        <f t="shared" si="38"/>
        <v>75</v>
      </c>
      <c r="J158" s="172">
        <f t="shared" si="38"/>
        <v>0</v>
      </c>
      <c r="K158" s="188">
        <f t="shared" si="38"/>
        <v>75</v>
      </c>
      <c r="L158" s="172">
        <f t="shared" si="38"/>
        <v>10189.1</v>
      </c>
      <c r="M158" s="172">
        <f t="shared" si="38"/>
        <v>3836.7</v>
      </c>
      <c r="N158" s="172">
        <f t="shared" si="38"/>
        <v>14025.8</v>
      </c>
      <c r="O158" s="178"/>
      <c r="P158" s="92"/>
    </row>
    <row r="159" spans="1:17" ht="31.5" x14ac:dyDescent="0.2">
      <c r="A159" s="42"/>
      <c r="B159" s="168" t="s">
        <v>35</v>
      </c>
      <c r="C159" s="169" t="s">
        <v>184</v>
      </c>
      <c r="D159" s="170" t="s">
        <v>36</v>
      </c>
      <c r="E159" s="171"/>
      <c r="F159" s="172">
        <v>10114.1</v>
      </c>
      <c r="G159" s="172">
        <f>194+3642.7</f>
        <v>3836.7</v>
      </c>
      <c r="H159" s="172">
        <f>SUM(F159)+G159</f>
        <v>13950.8</v>
      </c>
      <c r="I159" s="188">
        <v>75</v>
      </c>
      <c r="J159" s="189"/>
      <c r="K159" s="188">
        <f>SUM(I159)</f>
        <v>75</v>
      </c>
      <c r="L159" s="172">
        <f>SUM(F159+I159)</f>
        <v>10189.1</v>
      </c>
      <c r="M159" s="172">
        <f>SUM(J159)+G159</f>
        <v>3836.7</v>
      </c>
      <c r="N159" s="172">
        <f>SUM(H159+K159)</f>
        <v>14025.8</v>
      </c>
      <c r="O159" s="178"/>
      <c r="P159" s="92"/>
    </row>
    <row r="160" spans="1:17" ht="18.75" x14ac:dyDescent="0.2">
      <c r="A160" s="42"/>
      <c r="B160" s="168" t="s">
        <v>185</v>
      </c>
      <c r="C160" s="169" t="s">
        <v>186</v>
      </c>
      <c r="D160" s="170" t="s">
        <v>26</v>
      </c>
      <c r="E160" s="171"/>
      <c r="F160" s="172">
        <f>F161</f>
        <v>2818.5</v>
      </c>
      <c r="G160" s="172">
        <f>G161</f>
        <v>-45.6</v>
      </c>
      <c r="H160" s="172">
        <f>H161</f>
        <v>2772.9</v>
      </c>
      <c r="I160" s="188">
        <f>I161</f>
        <v>0</v>
      </c>
      <c r="J160" s="189"/>
      <c r="K160" s="188">
        <f>K161</f>
        <v>0</v>
      </c>
      <c r="L160" s="172">
        <f>L161</f>
        <v>2818.5</v>
      </c>
      <c r="M160" s="172">
        <f>M161</f>
        <v>-45.6</v>
      </c>
      <c r="N160" s="172">
        <f>N161</f>
        <v>2772.9</v>
      </c>
      <c r="O160" s="178"/>
      <c r="P160" s="92"/>
    </row>
    <row r="161" spans="1:17" ht="31.5" x14ac:dyDescent="0.2">
      <c r="A161" s="42"/>
      <c r="B161" s="168" t="s">
        <v>35</v>
      </c>
      <c r="C161" s="169" t="s">
        <v>186</v>
      </c>
      <c r="D161" s="170" t="s">
        <v>36</v>
      </c>
      <c r="E161" s="171"/>
      <c r="F161" s="172">
        <v>2818.5</v>
      </c>
      <c r="G161" s="172">
        <v>-45.6</v>
      </c>
      <c r="H161" s="172">
        <f>SUM(F161)+G161</f>
        <v>2772.9</v>
      </c>
      <c r="I161" s="188">
        <v>0</v>
      </c>
      <c r="J161" s="189"/>
      <c r="K161" s="188">
        <v>0</v>
      </c>
      <c r="L161" s="172">
        <f>SUM(F161)</f>
        <v>2818.5</v>
      </c>
      <c r="M161" s="172">
        <f>SUM(G161)</f>
        <v>-45.6</v>
      </c>
      <c r="N161" s="172">
        <f>SUM(L161)+M161</f>
        <v>2772.9</v>
      </c>
      <c r="O161" s="178"/>
      <c r="P161" s="92"/>
      <c r="Q161" s="43"/>
    </row>
    <row r="162" spans="1:17" ht="18.75" x14ac:dyDescent="0.2">
      <c r="A162" s="42"/>
      <c r="B162" s="168" t="s">
        <v>187</v>
      </c>
      <c r="C162" s="169" t="s">
        <v>188</v>
      </c>
      <c r="D162" s="170" t="s">
        <v>26</v>
      </c>
      <c r="E162" s="171"/>
      <c r="F162" s="172">
        <f>F163</f>
        <v>2161.8000000000002</v>
      </c>
      <c r="G162" s="172">
        <f>G163</f>
        <v>1108.1999999999998</v>
      </c>
      <c r="H162" s="172">
        <f>H163</f>
        <v>3270</v>
      </c>
      <c r="I162" s="188">
        <f>I163</f>
        <v>0</v>
      </c>
      <c r="J162" s="189"/>
      <c r="K162" s="188">
        <f>K163</f>
        <v>0</v>
      </c>
      <c r="L162" s="172">
        <f>L163</f>
        <v>2161.8000000000002</v>
      </c>
      <c r="M162" s="172">
        <f>M163</f>
        <v>1108.1999999999998</v>
      </c>
      <c r="N162" s="172">
        <f>N163</f>
        <v>3270</v>
      </c>
      <c r="O162" s="178"/>
      <c r="P162" s="92"/>
    </row>
    <row r="163" spans="1:17" ht="31.5" x14ac:dyDescent="0.2">
      <c r="A163" s="42"/>
      <c r="B163" s="168" t="s">
        <v>35</v>
      </c>
      <c r="C163" s="169" t="s">
        <v>188</v>
      </c>
      <c r="D163" s="170" t="s">
        <v>36</v>
      </c>
      <c r="E163" s="171"/>
      <c r="F163" s="172">
        <v>2161.8000000000002</v>
      </c>
      <c r="G163" s="172">
        <f>500+180+45.6+425+457.6-45.6-500+45.6</f>
        <v>1108.1999999999998</v>
      </c>
      <c r="H163" s="172">
        <f>SUM(F163)+G163</f>
        <v>3270</v>
      </c>
      <c r="I163" s="188">
        <v>0</v>
      </c>
      <c r="J163" s="189"/>
      <c r="K163" s="188">
        <v>0</v>
      </c>
      <c r="L163" s="172">
        <f t="shared" ref="L163:N165" si="39">SUM(F163)</f>
        <v>2161.8000000000002</v>
      </c>
      <c r="M163" s="172">
        <f t="shared" si="39"/>
        <v>1108.1999999999998</v>
      </c>
      <c r="N163" s="172">
        <f t="shared" si="39"/>
        <v>3270</v>
      </c>
      <c r="O163" s="178"/>
      <c r="P163" s="92"/>
    </row>
    <row r="164" spans="1:17" ht="27" customHeight="1" x14ac:dyDescent="0.2">
      <c r="A164" s="42"/>
      <c r="B164" s="168" t="s">
        <v>189</v>
      </c>
      <c r="C164" s="169" t="s">
        <v>190</v>
      </c>
      <c r="D164" s="170"/>
      <c r="E164" s="171"/>
      <c r="F164" s="172">
        <v>583.6</v>
      </c>
      <c r="G164" s="172">
        <f>G165</f>
        <v>0</v>
      </c>
      <c r="H164" s="172">
        <f>SUM(F164)+G164</f>
        <v>583.6</v>
      </c>
      <c r="I164" s="188"/>
      <c r="J164" s="189"/>
      <c r="K164" s="188"/>
      <c r="L164" s="172">
        <f t="shared" si="39"/>
        <v>583.6</v>
      </c>
      <c r="M164" s="172">
        <f t="shared" si="39"/>
        <v>0</v>
      </c>
      <c r="N164" s="172">
        <f t="shared" si="39"/>
        <v>583.6</v>
      </c>
      <c r="O164" s="178"/>
      <c r="P164" s="92"/>
    </row>
    <row r="165" spans="1:17" ht="31.5" x14ac:dyDescent="0.2">
      <c r="A165" s="42"/>
      <c r="B165" s="168" t="s">
        <v>35</v>
      </c>
      <c r="C165" s="169" t="s">
        <v>190</v>
      </c>
      <c r="D165" s="170" t="s">
        <v>36</v>
      </c>
      <c r="E165" s="171"/>
      <c r="F165" s="172">
        <v>583.6</v>
      </c>
      <c r="G165" s="172"/>
      <c r="H165" s="172">
        <f>SUM(F165)+G165</f>
        <v>583.6</v>
      </c>
      <c r="I165" s="188"/>
      <c r="J165" s="189"/>
      <c r="K165" s="188"/>
      <c r="L165" s="172">
        <f t="shared" si="39"/>
        <v>583.6</v>
      </c>
      <c r="M165" s="172">
        <f t="shared" si="39"/>
        <v>0</v>
      </c>
      <c r="N165" s="172">
        <f t="shared" si="39"/>
        <v>583.6</v>
      </c>
      <c r="O165" s="178"/>
      <c r="P165" s="92"/>
    </row>
    <row r="166" spans="1:17" ht="18.75" x14ac:dyDescent="0.2">
      <c r="A166" s="42"/>
      <c r="B166" s="202" t="s">
        <v>482</v>
      </c>
      <c r="C166" s="169" t="s">
        <v>481</v>
      </c>
      <c r="D166" s="170"/>
      <c r="E166" s="171"/>
      <c r="F166" s="172"/>
      <c r="G166" s="172"/>
      <c r="H166" s="172"/>
      <c r="I166" s="188">
        <f t="shared" ref="I166:N166" si="40">I167</f>
        <v>3070</v>
      </c>
      <c r="J166" s="188">
        <f t="shared" si="40"/>
        <v>0</v>
      </c>
      <c r="K166" s="188">
        <f t="shared" si="40"/>
        <v>3070</v>
      </c>
      <c r="L166" s="188">
        <f t="shared" si="40"/>
        <v>3070</v>
      </c>
      <c r="M166" s="188">
        <f t="shared" si="40"/>
        <v>0</v>
      </c>
      <c r="N166" s="188">
        <f t="shared" si="40"/>
        <v>3070</v>
      </c>
      <c r="O166" s="178"/>
      <c r="P166" s="92"/>
    </row>
    <row r="167" spans="1:17" ht="31.5" x14ac:dyDescent="0.2">
      <c r="A167" s="42"/>
      <c r="B167" s="197" t="s">
        <v>35</v>
      </c>
      <c r="C167" s="169" t="s">
        <v>481</v>
      </c>
      <c r="D167" s="170" t="s">
        <v>36</v>
      </c>
      <c r="E167" s="171"/>
      <c r="F167" s="172"/>
      <c r="G167" s="172"/>
      <c r="H167" s="172">
        <f>SUM(G167)</f>
        <v>0</v>
      </c>
      <c r="I167" s="188">
        <v>3070</v>
      </c>
      <c r="J167" s="189"/>
      <c r="K167" s="188">
        <f>SUM(I167:J167)</f>
        <v>3070</v>
      </c>
      <c r="L167" s="172">
        <f>F167+I167</f>
        <v>3070</v>
      </c>
      <c r="M167" s="172">
        <f>G167+J167</f>
        <v>0</v>
      </c>
      <c r="N167" s="172">
        <f>H167+K167</f>
        <v>3070</v>
      </c>
      <c r="O167" s="178"/>
      <c r="P167" s="92"/>
    </row>
    <row r="168" spans="1:17" ht="31.5" x14ac:dyDescent="0.2">
      <c r="A168" s="42"/>
      <c r="B168" s="168" t="s">
        <v>191</v>
      </c>
      <c r="C168" s="169" t="s">
        <v>192</v>
      </c>
      <c r="D168" s="170" t="s">
        <v>26</v>
      </c>
      <c r="E168" s="171"/>
      <c r="F168" s="172">
        <f>F169</f>
        <v>4252.3999999999996</v>
      </c>
      <c r="G168" s="172">
        <f>G169</f>
        <v>0</v>
      </c>
      <c r="H168" s="172">
        <f>H169</f>
        <v>4252.3999999999996</v>
      </c>
      <c r="I168" s="188">
        <f>I169</f>
        <v>0</v>
      </c>
      <c r="J168" s="189"/>
      <c r="K168" s="188">
        <f>K169</f>
        <v>0</v>
      </c>
      <c r="L168" s="172">
        <f>L169</f>
        <v>4252.3999999999996</v>
      </c>
      <c r="M168" s="172">
        <f>M169</f>
        <v>0</v>
      </c>
      <c r="N168" s="172">
        <f>N169</f>
        <v>4252.3999999999996</v>
      </c>
      <c r="O168" s="178"/>
      <c r="P168" s="92"/>
    </row>
    <row r="169" spans="1:17" ht="31.5" x14ac:dyDescent="0.2">
      <c r="A169" s="42"/>
      <c r="B169" s="168" t="s">
        <v>35</v>
      </c>
      <c r="C169" s="169" t="s">
        <v>192</v>
      </c>
      <c r="D169" s="170" t="s">
        <v>36</v>
      </c>
      <c r="E169" s="171"/>
      <c r="F169" s="172">
        <v>4252.3999999999996</v>
      </c>
      <c r="G169" s="172"/>
      <c r="H169" s="172">
        <f>SUM(F169:G169)</f>
        <v>4252.3999999999996</v>
      </c>
      <c r="I169" s="188">
        <v>0</v>
      </c>
      <c r="J169" s="189"/>
      <c r="K169" s="188">
        <v>0</v>
      </c>
      <c r="L169" s="172">
        <f>SUM(F169)</f>
        <v>4252.3999999999996</v>
      </c>
      <c r="M169" s="172">
        <f>SUM(G169)</f>
        <v>0</v>
      </c>
      <c r="N169" s="172">
        <f>SUM(H169)</f>
        <v>4252.3999999999996</v>
      </c>
      <c r="O169" s="178"/>
      <c r="P169" s="92"/>
    </row>
    <row r="170" spans="1:17" ht="34.9" customHeight="1" x14ac:dyDescent="0.2">
      <c r="A170" s="42"/>
      <c r="B170" s="168" t="s">
        <v>193</v>
      </c>
      <c r="C170" s="169" t="s">
        <v>194</v>
      </c>
      <c r="D170" s="170" t="s">
        <v>26</v>
      </c>
      <c r="E170" s="171"/>
      <c r="F170" s="172">
        <f>F171</f>
        <v>6311.2</v>
      </c>
      <c r="G170" s="172">
        <f>G171</f>
        <v>829.7</v>
      </c>
      <c r="H170" s="172">
        <f>H171</f>
        <v>7140.9</v>
      </c>
      <c r="I170" s="188">
        <f>I171</f>
        <v>0</v>
      </c>
      <c r="J170" s="189"/>
      <c r="K170" s="188">
        <f>K171</f>
        <v>0</v>
      </c>
      <c r="L170" s="172">
        <f>L171</f>
        <v>6311.2</v>
      </c>
      <c r="M170" s="172">
        <f>M171</f>
        <v>829.7</v>
      </c>
      <c r="N170" s="172">
        <f>N171</f>
        <v>7140.9</v>
      </c>
      <c r="O170" s="178"/>
      <c r="P170" s="92"/>
    </row>
    <row r="171" spans="1:17" ht="30.75" customHeight="1" x14ac:dyDescent="0.2">
      <c r="A171" s="42"/>
      <c r="B171" s="168" t="s">
        <v>35</v>
      </c>
      <c r="C171" s="169" t="s">
        <v>194</v>
      </c>
      <c r="D171" s="170" t="s">
        <v>36</v>
      </c>
      <c r="E171" s="171"/>
      <c r="F171" s="172">
        <v>6311.2</v>
      </c>
      <c r="G171" s="172">
        <f>329.7+500</f>
        <v>829.7</v>
      </c>
      <c r="H171" s="172">
        <f>SUM(F171)+G171</f>
        <v>7140.9</v>
      </c>
      <c r="I171" s="188">
        <v>0</v>
      </c>
      <c r="J171" s="189"/>
      <c r="K171" s="188">
        <v>0</v>
      </c>
      <c r="L171" s="172">
        <f>SUM(F171)</f>
        <v>6311.2</v>
      </c>
      <c r="M171" s="172">
        <f>SUM(G171)</f>
        <v>829.7</v>
      </c>
      <c r="N171" s="172">
        <f>SUM(H171)</f>
        <v>7140.9</v>
      </c>
      <c r="O171" s="178"/>
      <c r="P171" s="92"/>
    </row>
    <row r="172" spans="1:17" ht="18.75" hidden="1" x14ac:dyDescent="0.2">
      <c r="A172" s="42"/>
      <c r="B172" s="168"/>
      <c r="C172" s="169"/>
      <c r="D172" s="170"/>
      <c r="E172" s="171"/>
      <c r="F172" s="172"/>
      <c r="G172" s="172"/>
      <c r="H172" s="172"/>
      <c r="I172" s="188"/>
      <c r="J172" s="189"/>
      <c r="K172" s="189"/>
      <c r="L172" s="172"/>
      <c r="M172" s="172">
        <f t="shared" ref="M172:N175" si="41">SUM(J172)</f>
        <v>0</v>
      </c>
      <c r="N172" s="172">
        <f t="shared" si="41"/>
        <v>0</v>
      </c>
      <c r="O172" s="178"/>
      <c r="P172" s="92"/>
    </row>
    <row r="173" spans="1:17" ht="31.5" hidden="1" x14ac:dyDescent="0.2">
      <c r="A173" s="42"/>
      <c r="B173" s="168" t="s">
        <v>35</v>
      </c>
      <c r="C173" s="169"/>
      <c r="D173" s="170" t="s">
        <v>36</v>
      </c>
      <c r="E173" s="171"/>
      <c r="F173" s="172"/>
      <c r="G173" s="172"/>
      <c r="H173" s="172"/>
      <c r="I173" s="188"/>
      <c r="J173" s="189"/>
      <c r="K173" s="188">
        <f>SUM(J173)</f>
        <v>0</v>
      </c>
      <c r="L173" s="172"/>
      <c r="M173" s="172">
        <f t="shared" si="41"/>
        <v>0</v>
      </c>
      <c r="N173" s="172">
        <f t="shared" si="41"/>
        <v>0</v>
      </c>
      <c r="O173" s="178"/>
      <c r="P173" s="92"/>
    </row>
    <row r="174" spans="1:17" ht="18.75" hidden="1" x14ac:dyDescent="0.2">
      <c r="A174" s="42"/>
      <c r="B174" s="168"/>
      <c r="C174" s="169"/>
      <c r="D174" s="170"/>
      <c r="E174" s="171"/>
      <c r="F174" s="172"/>
      <c r="G174" s="172"/>
      <c r="H174" s="172"/>
      <c r="I174" s="188"/>
      <c r="J174" s="189"/>
      <c r="K174" s="189"/>
      <c r="L174" s="172"/>
      <c r="M174" s="172">
        <f t="shared" si="41"/>
        <v>0</v>
      </c>
      <c r="N174" s="172">
        <f t="shared" si="41"/>
        <v>0</v>
      </c>
      <c r="O174" s="178"/>
      <c r="P174" s="92"/>
    </row>
    <row r="175" spans="1:17" ht="31.5" hidden="1" x14ac:dyDescent="0.2">
      <c r="A175" s="42"/>
      <c r="B175" s="168" t="s">
        <v>35</v>
      </c>
      <c r="C175" s="169"/>
      <c r="D175" s="170" t="s">
        <v>36</v>
      </c>
      <c r="E175" s="171"/>
      <c r="F175" s="172"/>
      <c r="G175" s="172"/>
      <c r="H175" s="172"/>
      <c r="I175" s="188"/>
      <c r="J175" s="189"/>
      <c r="K175" s="189"/>
      <c r="L175" s="172"/>
      <c r="M175" s="172">
        <f t="shared" si="41"/>
        <v>0</v>
      </c>
      <c r="N175" s="172">
        <f t="shared" si="41"/>
        <v>0</v>
      </c>
      <c r="O175" s="178"/>
      <c r="P175" s="92"/>
    </row>
    <row r="176" spans="1:17" ht="52.15" customHeight="1" x14ac:dyDescent="0.2">
      <c r="A176" s="42"/>
      <c r="B176" s="168" t="s">
        <v>477</v>
      </c>
      <c r="C176" s="169" t="s">
        <v>474</v>
      </c>
      <c r="D176" s="170"/>
      <c r="E176" s="171"/>
      <c r="F176" s="172">
        <v>2495.4</v>
      </c>
      <c r="G176" s="172">
        <v>-2495.4</v>
      </c>
      <c r="H176" s="172">
        <f>2495.4+G176</f>
        <v>0</v>
      </c>
      <c r="I176" s="188">
        <v>5</v>
      </c>
      <c r="J176" s="189">
        <f>SUM(J177)</f>
        <v>2495.4</v>
      </c>
      <c r="K176" s="189">
        <f>SUM(K177)</f>
        <v>2500.4</v>
      </c>
      <c r="L176" s="172">
        <f>SUM(F176+I176)</f>
        <v>2500.4</v>
      </c>
      <c r="M176" s="172">
        <f>SUM(G176)+J176</f>
        <v>0</v>
      </c>
      <c r="N176" s="172">
        <f>SUM(K176)+H176+M176</f>
        <v>2500.4</v>
      </c>
      <c r="O176" s="178"/>
      <c r="P176" s="92"/>
    </row>
    <row r="177" spans="1:16" ht="31.5" x14ac:dyDescent="0.2">
      <c r="A177" s="42"/>
      <c r="B177" s="168" t="s">
        <v>35</v>
      </c>
      <c r="C177" s="169" t="s">
        <v>474</v>
      </c>
      <c r="D177" s="170" t="s">
        <v>36</v>
      </c>
      <c r="E177" s="171"/>
      <c r="F177" s="172">
        <v>2495.4</v>
      </c>
      <c r="G177" s="172">
        <v>-2495.4</v>
      </c>
      <c r="H177" s="172">
        <f>2495.4+G177</f>
        <v>0</v>
      </c>
      <c r="I177" s="188">
        <v>5</v>
      </c>
      <c r="J177" s="189">
        <v>2495.4</v>
      </c>
      <c r="K177" s="189">
        <f>SUM(J177)+I177</f>
        <v>2500.4</v>
      </c>
      <c r="L177" s="172">
        <f>SUM(F177+I177)</f>
        <v>2500.4</v>
      </c>
      <c r="M177" s="172">
        <f>SUM(G177)+J177</f>
        <v>0</v>
      </c>
      <c r="N177" s="172">
        <f>SUM(K177)+H177+M177</f>
        <v>2500.4</v>
      </c>
      <c r="O177" s="178"/>
      <c r="P177" s="92"/>
    </row>
    <row r="178" spans="1:16" ht="18.75" x14ac:dyDescent="0.2">
      <c r="A178" s="42"/>
      <c r="B178" s="168" t="s">
        <v>476</v>
      </c>
      <c r="C178" s="169" t="s">
        <v>475</v>
      </c>
      <c r="D178" s="170"/>
      <c r="E178" s="171"/>
      <c r="F178" s="172"/>
      <c r="G178" s="172"/>
      <c r="H178" s="172">
        <f>SUM(G178)</f>
        <v>0</v>
      </c>
      <c r="I178" s="188">
        <v>4251.8</v>
      </c>
      <c r="J178" s="189"/>
      <c r="K178" s="189">
        <v>4251.8</v>
      </c>
      <c r="L178" s="172">
        <f>SUM(I178)</f>
        <v>4251.8</v>
      </c>
      <c r="M178" s="172">
        <f>SUM(J178)+H178</f>
        <v>0</v>
      </c>
      <c r="N178" s="172">
        <f>SUM(K178)</f>
        <v>4251.8</v>
      </c>
      <c r="O178" s="178"/>
      <c r="P178" s="92"/>
    </row>
    <row r="179" spans="1:16" ht="31.5" x14ac:dyDescent="0.2">
      <c r="A179" s="42"/>
      <c r="B179" s="168" t="s">
        <v>35</v>
      </c>
      <c r="C179" s="169" t="s">
        <v>475</v>
      </c>
      <c r="D179" s="170" t="s">
        <v>36</v>
      </c>
      <c r="E179" s="171"/>
      <c r="F179" s="172"/>
      <c r="G179" s="172"/>
      <c r="H179" s="172">
        <f>SUM(G179)</f>
        <v>0</v>
      </c>
      <c r="I179" s="188">
        <v>4251.8</v>
      </c>
      <c r="J179" s="189"/>
      <c r="K179" s="188">
        <v>4251.8</v>
      </c>
      <c r="L179" s="172">
        <f>SUM(I179)</f>
        <v>4251.8</v>
      </c>
      <c r="M179" s="172">
        <f>SUM(J179)+H179</f>
        <v>0</v>
      </c>
      <c r="N179" s="172">
        <f>SUM(K179)</f>
        <v>4251.8</v>
      </c>
      <c r="O179" s="178"/>
      <c r="P179" s="92"/>
    </row>
    <row r="180" spans="1:16" ht="96" customHeight="1" x14ac:dyDescent="0.2">
      <c r="A180" s="42"/>
      <c r="B180" s="168" t="s">
        <v>493</v>
      </c>
      <c r="C180" s="169" t="s">
        <v>452</v>
      </c>
      <c r="D180" s="170"/>
      <c r="E180" s="171"/>
      <c r="F180" s="172">
        <f>SUM(F181)</f>
        <v>66.400000000000006</v>
      </c>
      <c r="G180" s="172">
        <f>SUM(G181)</f>
        <v>0</v>
      </c>
      <c r="H180" s="172">
        <f>SUM(F180)</f>
        <v>66.400000000000006</v>
      </c>
      <c r="I180" s="188">
        <f>SUM(I181)</f>
        <v>1260</v>
      </c>
      <c r="J180" s="189">
        <f>SUM(J181)</f>
        <v>0</v>
      </c>
      <c r="K180" s="188">
        <f>SUM(I180)</f>
        <v>1260</v>
      </c>
      <c r="L180" s="172">
        <f>SUM(F180+I180)</f>
        <v>1326.4</v>
      </c>
      <c r="M180" s="172">
        <f>SUM(J180)+G180</f>
        <v>0</v>
      </c>
      <c r="N180" s="172">
        <f>SUM(K180)+H180</f>
        <v>1326.4</v>
      </c>
      <c r="O180" s="178"/>
      <c r="P180" s="92"/>
    </row>
    <row r="181" spans="1:16" ht="35.450000000000003" customHeight="1" x14ac:dyDescent="0.2">
      <c r="A181" s="42"/>
      <c r="B181" s="168" t="s">
        <v>35</v>
      </c>
      <c r="C181" s="169" t="s">
        <v>452</v>
      </c>
      <c r="D181" s="170" t="s">
        <v>36</v>
      </c>
      <c r="E181" s="171"/>
      <c r="F181" s="172">
        <v>66.400000000000006</v>
      </c>
      <c r="G181" s="172"/>
      <c r="H181" s="172">
        <f>SUM(F181)</f>
        <v>66.400000000000006</v>
      </c>
      <c r="I181" s="188">
        <v>1260</v>
      </c>
      <c r="J181" s="189"/>
      <c r="K181" s="188">
        <f>SUM(I181)</f>
        <v>1260</v>
      </c>
      <c r="L181" s="172">
        <f>SUM(F181+I181)</f>
        <v>1326.4</v>
      </c>
      <c r="M181" s="172">
        <f>SUM(J181)+G181</f>
        <v>0</v>
      </c>
      <c r="N181" s="172">
        <f>SUM(K181)+H181</f>
        <v>1326.4</v>
      </c>
      <c r="O181" s="178"/>
      <c r="P181" s="92"/>
    </row>
    <row r="182" spans="1:16" ht="18.75" hidden="1" x14ac:dyDescent="0.2">
      <c r="A182" s="42"/>
      <c r="B182" s="168"/>
      <c r="C182" s="169" t="s">
        <v>317</v>
      </c>
      <c r="D182" s="170"/>
      <c r="E182" s="171"/>
      <c r="F182" s="172"/>
      <c r="G182" s="172"/>
      <c r="H182" s="172"/>
      <c r="I182" s="188"/>
      <c r="J182" s="189"/>
      <c r="K182" s="188"/>
      <c r="L182" s="172"/>
      <c r="M182" s="172"/>
      <c r="N182" s="172"/>
      <c r="O182" s="178"/>
      <c r="P182" s="92"/>
    </row>
    <row r="183" spans="1:16" ht="18.75" hidden="1" x14ac:dyDescent="0.2">
      <c r="A183" s="42"/>
      <c r="B183" s="168"/>
      <c r="C183" s="169" t="s">
        <v>319</v>
      </c>
      <c r="D183" s="170"/>
      <c r="E183" s="171"/>
      <c r="F183" s="172"/>
      <c r="G183" s="172"/>
      <c r="H183" s="172"/>
      <c r="I183" s="188"/>
      <c r="J183" s="189"/>
      <c r="K183" s="188"/>
      <c r="L183" s="172"/>
      <c r="M183" s="172"/>
      <c r="N183" s="172"/>
      <c r="O183" s="178"/>
      <c r="P183" s="92"/>
    </row>
    <row r="184" spans="1:16" ht="18.75" hidden="1" x14ac:dyDescent="0.2">
      <c r="A184" s="42"/>
      <c r="B184" s="168"/>
      <c r="C184" s="169" t="s">
        <v>466</v>
      </c>
      <c r="D184" s="170"/>
      <c r="E184" s="171"/>
      <c r="F184" s="172"/>
      <c r="G184" s="172"/>
      <c r="H184" s="172"/>
      <c r="I184" s="188"/>
      <c r="J184" s="189"/>
      <c r="K184" s="188"/>
      <c r="L184" s="172"/>
      <c r="M184" s="172"/>
      <c r="N184" s="172"/>
      <c r="O184" s="178"/>
      <c r="P184" s="92"/>
    </row>
    <row r="185" spans="1:16" ht="31.5" hidden="1" x14ac:dyDescent="0.2">
      <c r="A185" s="42"/>
      <c r="B185" s="168" t="s">
        <v>35</v>
      </c>
      <c r="C185" s="169" t="s">
        <v>467</v>
      </c>
      <c r="D185" s="170" t="s">
        <v>36</v>
      </c>
      <c r="E185" s="171"/>
      <c r="F185" s="172"/>
      <c r="G185" s="172"/>
      <c r="H185" s="172"/>
      <c r="I185" s="188"/>
      <c r="J185" s="189"/>
      <c r="K185" s="188"/>
      <c r="L185" s="172"/>
      <c r="M185" s="172"/>
      <c r="N185" s="172"/>
      <c r="O185" s="178"/>
      <c r="P185" s="92"/>
    </row>
    <row r="186" spans="1:16" ht="21.6" customHeight="1" x14ac:dyDescent="0.2">
      <c r="A186" s="49"/>
      <c r="B186" s="190" t="s">
        <v>195</v>
      </c>
      <c r="C186" s="191" t="s">
        <v>196</v>
      </c>
      <c r="D186" s="192" t="s">
        <v>26</v>
      </c>
      <c r="E186" s="193"/>
      <c r="F186" s="194">
        <f t="shared" ref="F186:N186" si="42">F187</f>
        <v>8022.1</v>
      </c>
      <c r="G186" s="194">
        <f t="shared" si="42"/>
        <v>-1100</v>
      </c>
      <c r="H186" s="194">
        <f t="shared" si="42"/>
        <v>6922.1</v>
      </c>
      <c r="I186" s="195">
        <f t="shared" si="42"/>
        <v>0</v>
      </c>
      <c r="J186" s="194">
        <f t="shared" si="42"/>
        <v>0</v>
      </c>
      <c r="K186" s="195">
        <f t="shared" si="42"/>
        <v>0</v>
      </c>
      <c r="L186" s="194">
        <f t="shared" si="42"/>
        <v>8022.1</v>
      </c>
      <c r="M186" s="194">
        <f t="shared" si="42"/>
        <v>-1100</v>
      </c>
      <c r="N186" s="194">
        <f t="shared" si="42"/>
        <v>6922.1</v>
      </c>
      <c r="O186" s="178"/>
      <c r="P186" s="92"/>
    </row>
    <row r="187" spans="1:16" ht="31.5" x14ac:dyDescent="0.2">
      <c r="A187" s="42"/>
      <c r="B187" s="168" t="s">
        <v>197</v>
      </c>
      <c r="C187" s="169" t="s">
        <v>198</v>
      </c>
      <c r="D187" s="170" t="s">
        <v>26</v>
      </c>
      <c r="E187" s="171"/>
      <c r="F187" s="172">
        <f>F188+F190</f>
        <v>8022.1</v>
      </c>
      <c r="G187" s="172">
        <f>G188+G190</f>
        <v>-1100</v>
      </c>
      <c r="H187" s="172">
        <f>H188+H190</f>
        <v>6922.1</v>
      </c>
      <c r="I187" s="188">
        <f>I188+I190</f>
        <v>0</v>
      </c>
      <c r="J187" s="189"/>
      <c r="K187" s="188">
        <f>K188+K190</f>
        <v>0</v>
      </c>
      <c r="L187" s="172">
        <f>L188+L190</f>
        <v>8022.1</v>
      </c>
      <c r="M187" s="172">
        <f>M188+M190</f>
        <v>-1100</v>
      </c>
      <c r="N187" s="172">
        <f>N188+N190</f>
        <v>6922.1</v>
      </c>
      <c r="O187" s="178"/>
      <c r="P187" s="92"/>
    </row>
    <row r="188" spans="1:16" ht="31.9" customHeight="1" x14ac:dyDescent="0.2">
      <c r="A188" s="42"/>
      <c r="B188" s="168" t="s">
        <v>199</v>
      </c>
      <c r="C188" s="169" t="s">
        <v>200</v>
      </c>
      <c r="D188" s="170" t="s">
        <v>26</v>
      </c>
      <c r="E188" s="171"/>
      <c r="F188" s="172">
        <f>F189</f>
        <v>2400</v>
      </c>
      <c r="G188" s="172">
        <f>G189</f>
        <v>0</v>
      </c>
      <c r="H188" s="172">
        <f>H189</f>
        <v>2400</v>
      </c>
      <c r="I188" s="188">
        <f>I189</f>
        <v>0</v>
      </c>
      <c r="J188" s="189"/>
      <c r="K188" s="188">
        <f>K189</f>
        <v>0</v>
      </c>
      <c r="L188" s="172">
        <f>L189</f>
        <v>2400</v>
      </c>
      <c r="M188" s="172">
        <f>M189</f>
        <v>0</v>
      </c>
      <c r="N188" s="172">
        <f>N189</f>
        <v>2400</v>
      </c>
      <c r="O188" s="178"/>
      <c r="P188" s="92"/>
    </row>
    <row r="189" spans="1:16" ht="31.5" x14ac:dyDescent="0.2">
      <c r="A189" s="42"/>
      <c r="B189" s="168" t="s">
        <v>35</v>
      </c>
      <c r="C189" s="169" t="s">
        <v>200</v>
      </c>
      <c r="D189" s="170" t="s">
        <v>36</v>
      </c>
      <c r="E189" s="171"/>
      <c r="F189" s="172">
        <v>2400</v>
      </c>
      <c r="G189" s="172"/>
      <c r="H189" s="172">
        <v>2400</v>
      </c>
      <c r="I189" s="188">
        <v>0</v>
      </c>
      <c r="J189" s="189"/>
      <c r="K189" s="188">
        <v>0</v>
      </c>
      <c r="L189" s="172">
        <v>2400</v>
      </c>
      <c r="M189" s="172"/>
      <c r="N189" s="172">
        <v>2400</v>
      </c>
      <c r="O189" s="178"/>
      <c r="P189" s="92"/>
    </row>
    <row r="190" spans="1:16" ht="31.5" x14ac:dyDescent="0.2">
      <c r="A190" s="42"/>
      <c r="B190" s="168" t="s">
        <v>201</v>
      </c>
      <c r="C190" s="169" t="s">
        <v>202</v>
      </c>
      <c r="D190" s="170" t="s">
        <v>26</v>
      </c>
      <c r="E190" s="171"/>
      <c r="F190" s="172">
        <f>F191</f>
        <v>5622.1</v>
      </c>
      <c r="G190" s="172">
        <f>G191</f>
        <v>-1100</v>
      </c>
      <c r="H190" s="172">
        <f>H191</f>
        <v>4522.1000000000004</v>
      </c>
      <c r="I190" s="188">
        <f>I191</f>
        <v>0</v>
      </c>
      <c r="J190" s="189"/>
      <c r="K190" s="188">
        <f>K191</f>
        <v>0</v>
      </c>
      <c r="L190" s="172">
        <f>L191</f>
        <v>5622.1</v>
      </c>
      <c r="M190" s="172">
        <f>M191</f>
        <v>-1100</v>
      </c>
      <c r="N190" s="172">
        <f>N191</f>
        <v>4522.1000000000004</v>
      </c>
      <c r="O190" s="178"/>
      <c r="P190" s="92"/>
    </row>
    <row r="191" spans="1:16" ht="31.5" x14ac:dyDescent="0.2">
      <c r="A191" s="42"/>
      <c r="B191" s="168" t="s">
        <v>35</v>
      </c>
      <c r="C191" s="169" t="s">
        <v>202</v>
      </c>
      <c r="D191" s="170" t="s">
        <v>36</v>
      </c>
      <c r="E191" s="171"/>
      <c r="F191" s="172">
        <v>5622.1</v>
      </c>
      <c r="G191" s="172">
        <f>-909+788.5-191-788.5</f>
        <v>-1100</v>
      </c>
      <c r="H191" s="172">
        <f>SUM(F191)+G191</f>
        <v>4522.1000000000004</v>
      </c>
      <c r="I191" s="188">
        <v>0</v>
      </c>
      <c r="J191" s="189"/>
      <c r="K191" s="188">
        <v>0</v>
      </c>
      <c r="L191" s="172">
        <f>SUM(F191)</f>
        <v>5622.1</v>
      </c>
      <c r="M191" s="172">
        <f>SUM(G191)</f>
        <v>-1100</v>
      </c>
      <c r="N191" s="172">
        <f>SUM(H191)</f>
        <v>4522.1000000000004</v>
      </c>
      <c r="O191" s="178"/>
      <c r="P191" s="92"/>
    </row>
    <row r="192" spans="1:16" ht="18.75" x14ac:dyDescent="0.2">
      <c r="A192" s="49"/>
      <c r="B192" s="190" t="s">
        <v>203</v>
      </c>
      <c r="C192" s="191" t="s">
        <v>204</v>
      </c>
      <c r="D192" s="192" t="s">
        <v>26</v>
      </c>
      <c r="E192" s="193"/>
      <c r="F192" s="194">
        <f>F193+F196+F206+F203</f>
        <v>136098.5</v>
      </c>
      <c r="G192" s="194">
        <f>G193+G196+G206+G203</f>
        <v>3892.2</v>
      </c>
      <c r="H192" s="194">
        <f>H193+H196+H206+H203</f>
        <v>139990.70000000001</v>
      </c>
      <c r="I192" s="195">
        <f>I193+I196</f>
        <v>0</v>
      </c>
      <c r="J192" s="194">
        <f>J193+J196</f>
        <v>0</v>
      </c>
      <c r="K192" s="195">
        <f>K193+K196</f>
        <v>0</v>
      </c>
      <c r="L192" s="194">
        <f>L193+L196+L206+L203</f>
        <v>136098.5</v>
      </c>
      <c r="M192" s="194">
        <f>M193+M196+M206+M203</f>
        <v>3892.2</v>
      </c>
      <c r="N192" s="194">
        <f>N193+N196+N206+N203</f>
        <v>139990.70000000001</v>
      </c>
      <c r="O192" s="178"/>
      <c r="P192" s="92"/>
    </row>
    <row r="193" spans="1:16" ht="31.5" x14ac:dyDescent="0.2">
      <c r="A193" s="42"/>
      <c r="B193" s="168" t="s">
        <v>205</v>
      </c>
      <c r="C193" s="169" t="s">
        <v>206</v>
      </c>
      <c r="D193" s="170" t="s">
        <v>26</v>
      </c>
      <c r="E193" s="171"/>
      <c r="F193" s="172">
        <f t="shared" ref="F193:N194" si="43">F194</f>
        <v>8699.1</v>
      </c>
      <c r="G193" s="172">
        <f t="shared" si="43"/>
        <v>0</v>
      </c>
      <c r="H193" s="172">
        <f t="shared" si="43"/>
        <v>8699.1</v>
      </c>
      <c r="I193" s="188">
        <f t="shared" si="43"/>
        <v>0</v>
      </c>
      <c r="J193" s="189"/>
      <c r="K193" s="188">
        <f t="shared" si="43"/>
        <v>0</v>
      </c>
      <c r="L193" s="172">
        <f t="shared" si="43"/>
        <v>8699.1</v>
      </c>
      <c r="M193" s="172">
        <f t="shared" si="43"/>
        <v>0</v>
      </c>
      <c r="N193" s="172">
        <f t="shared" si="43"/>
        <v>8699.1</v>
      </c>
      <c r="O193" s="178"/>
      <c r="P193" s="92"/>
    </row>
    <row r="194" spans="1:16" ht="31.5" x14ac:dyDescent="0.2">
      <c r="A194" s="42"/>
      <c r="B194" s="168" t="s">
        <v>39</v>
      </c>
      <c r="C194" s="169" t="s">
        <v>207</v>
      </c>
      <c r="D194" s="170" t="s">
        <v>26</v>
      </c>
      <c r="E194" s="171"/>
      <c r="F194" s="172">
        <f t="shared" si="43"/>
        <v>8699.1</v>
      </c>
      <c r="G194" s="172">
        <f t="shared" si="43"/>
        <v>0</v>
      </c>
      <c r="H194" s="172">
        <f t="shared" si="43"/>
        <v>8699.1</v>
      </c>
      <c r="I194" s="188">
        <f t="shared" si="43"/>
        <v>0</v>
      </c>
      <c r="J194" s="189"/>
      <c r="K194" s="188">
        <f t="shared" si="43"/>
        <v>0</v>
      </c>
      <c r="L194" s="172">
        <f t="shared" si="43"/>
        <v>8699.1</v>
      </c>
      <c r="M194" s="172">
        <f t="shared" si="43"/>
        <v>0</v>
      </c>
      <c r="N194" s="172">
        <f t="shared" si="43"/>
        <v>8699.1</v>
      </c>
      <c r="O194" s="178"/>
      <c r="P194" s="92"/>
    </row>
    <row r="195" spans="1:16" ht="31.5" x14ac:dyDescent="0.2">
      <c r="A195" s="42"/>
      <c r="B195" s="168" t="s">
        <v>74</v>
      </c>
      <c r="C195" s="169" t="s">
        <v>207</v>
      </c>
      <c r="D195" s="170" t="s">
        <v>75</v>
      </c>
      <c r="E195" s="171"/>
      <c r="F195" s="172">
        <v>8699.1</v>
      </c>
      <c r="G195" s="172"/>
      <c r="H195" s="172">
        <f>SUM(F195)</f>
        <v>8699.1</v>
      </c>
      <c r="I195" s="188">
        <v>0</v>
      </c>
      <c r="J195" s="189"/>
      <c r="K195" s="188">
        <v>0</v>
      </c>
      <c r="L195" s="172">
        <f>SUM(F195)</f>
        <v>8699.1</v>
      </c>
      <c r="M195" s="172">
        <f>SUM(G195)</f>
        <v>0</v>
      </c>
      <c r="N195" s="172">
        <f>SUM(L195)</f>
        <v>8699.1</v>
      </c>
      <c r="O195" s="178"/>
      <c r="P195" s="92"/>
    </row>
    <row r="196" spans="1:16" ht="36" customHeight="1" x14ac:dyDescent="0.2">
      <c r="A196" s="42"/>
      <c r="B196" s="168" t="s">
        <v>208</v>
      </c>
      <c r="C196" s="169" t="s">
        <v>209</v>
      </c>
      <c r="D196" s="170" t="s">
        <v>26</v>
      </c>
      <c r="E196" s="171"/>
      <c r="F196" s="172">
        <f>F197+F199+F201</f>
        <v>117232.6</v>
      </c>
      <c r="G196" s="172">
        <f>SUM(G201)+G197+G199</f>
        <v>3792.2</v>
      </c>
      <c r="H196" s="172">
        <f>H197+H199+H201</f>
        <v>121024.8</v>
      </c>
      <c r="I196" s="188">
        <f t="shared" ref="F196:N197" si="44">I197</f>
        <v>0</v>
      </c>
      <c r="J196" s="189"/>
      <c r="K196" s="188">
        <f t="shared" si="44"/>
        <v>0</v>
      </c>
      <c r="L196" s="172">
        <f>L197+L199+L201</f>
        <v>117232.6</v>
      </c>
      <c r="M196" s="172">
        <f>SUM(M201)+M197+M199</f>
        <v>3792.2</v>
      </c>
      <c r="N196" s="172">
        <f>N197+N199+N201</f>
        <v>121024.8</v>
      </c>
      <c r="O196" s="178"/>
      <c r="P196" s="92"/>
    </row>
    <row r="197" spans="1:16" ht="31.5" x14ac:dyDescent="0.2">
      <c r="A197" s="42"/>
      <c r="B197" s="168" t="s">
        <v>39</v>
      </c>
      <c r="C197" s="169" t="s">
        <v>210</v>
      </c>
      <c r="D197" s="170" t="s">
        <v>26</v>
      </c>
      <c r="E197" s="171"/>
      <c r="F197" s="172">
        <f t="shared" si="44"/>
        <v>114153.60000000001</v>
      </c>
      <c r="G197" s="172">
        <f t="shared" si="44"/>
        <v>3792.2</v>
      </c>
      <c r="H197" s="172">
        <f t="shared" si="44"/>
        <v>117945.8</v>
      </c>
      <c r="I197" s="188">
        <f t="shared" si="44"/>
        <v>0</v>
      </c>
      <c r="J197" s="189"/>
      <c r="K197" s="188">
        <f t="shared" si="44"/>
        <v>0</v>
      </c>
      <c r="L197" s="172">
        <f t="shared" si="44"/>
        <v>114153.60000000001</v>
      </c>
      <c r="M197" s="172">
        <f t="shared" si="44"/>
        <v>3792.2</v>
      </c>
      <c r="N197" s="172">
        <f t="shared" si="44"/>
        <v>117945.8</v>
      </c>
      <c r="O197" s="178"/>
      <c r="P197" s="92"/>
    </row>
    <row r="198" spans="1:16" ht="30.75" customHeight="1" x14ac:dyDescent="0.2">
      <c r="A198" s="42"/>
      <c r="B198" s="168" t="s">
        <v>74</v>
      </c>
      <c r="C198" s="169" t="s">
        <v>210</v>
      </c>
      <c r="D198" s="170" t="s">
        <v>75</v>
      </c>
      <c r="E198" s="171"/>
      <c r="F198" s="172">
        <v>114153.60000000001</v>
      </c>
      <c r="G198" s="172">
        <f>2292.2+1500</f>
        <v>3792.2</v>
      </c>
      <c r="H198" s="172">
        <f>SUM(F198+G198)</f>
        <v>117945.8</v>
      </c>
      <c r="I198" s="188">
        <v>0</v>
      </c>
      <c r="J198" s="189"/>
      <c r="K198" s="188">
        <v>0</v>
      </c>
      <c r="L198" s="172">
        <f>SUM(F197)</f>
        <v>114153.60000000001</v>
      </c>
      <c r="M198" s="172">
        <f>SUM(G198)</f>
        <v>3792.2</v>
      </c>
      <c r="N198" s="172">
        <f>SUM(H198)</f>
        <v>117945.8</v>
      </c>
      <c r="O198" s="178"/>
      <c r="P198" s="92"/>
    </row>
    <row r="199" spans="1:16" ht="31.5" customHeight="1" x14ac:dyDescent="0.2">
      <c r="A199" s="42"/>
      <c r="B199" s="168" t="s">
        <v>211</v>
      </c>
      <c r="C199" s="169" t="s">
        <v>212</v>
      </c>
      <c r="D199" s="170"/>
      <c r="E199" s="171"/>
      <c r="F199" s="172">
        <v>779</v>
      </c>
      <c r="G199" s="172"/>
      <c r="H199" s="172">
        <f>SUM(F199)</f>
        <v>779</v>
      </c>
      <c r="I199" s="188"/>
      <c r="J199" s="189"/>
      <c r="K199" s="188"/>
      <c r="L199" s="172">
        <f>SUM(F200)</f>
        <v>779</v>
      </c>
      <c r="M199" s="172">
        <f>SUM(G199)</f>
        <v>0</v>
      </c>
      <c r="N199" s="172">
        <f>SUM(L199)</f>
        <v>779</v>
      </c>
      <c r="O199" s="178"/>
      <c r="P199" s="92"/>
    </row>
    <row r="200" spans="1:16" ht="33.75" customHeight="1" x14ac:dyDescent="0.2">
      <c r="A200" s="42"/>
      <c r="B200" s="168" t="s">
        <v>74</v>
      </c>
      <c r="C200" s="169" t="s">
        <v>212</v>
      </c>
      <c r="D200" s="170" t="s">
        <v>75</v>
      </c>
      <c r="E200" s="171"/>
      <c r="F200" s="172">
        <v>779</v>
      </c>
      <c r="G200" s="172"/>
      <c r="H200" s="172">
        <f>SUM(F200)</f>
        <v>779</v>
      </c>
      <c r="I200" s="188"/>
      <c r="J200" s="189"/>
      <c r="K200" s="188"/>
      <c r="L200" s="172">
        <f t="shared" ref="L200:N208" si="45">SUM(F200)</f>
        <v>779</v>
      </c>
      <c r="M200" s="172">
        <f>SUM(G200)</f>
        <v>0</v>
      </c>
      <c r="N200" s="172">
        <f>SUM(L200)</f>
        <v>779</v>
      </c>
      <c r="O200" s="178"/>
      <c r="P200" s="92"/>
    </row>
    <row r="201" spans="1:16" ht="31.5" customHeight="1" x14ac:dyDescent="0.2">
      <c r="A201" s="42"/>
      <c r="B201" s="203" t="s">
        <v>78</v>
      </c>
      <c r="C201" s="169" t="s">
        <v>213</v>
      </c>
      <c r="D201" s="170"/>
      <c r="E201" s="171"/>
      <c r="F201" s="172">
        <v>2300</v>
      </c>
      <c r="G201" s="172">
        <f>SUM(G202)</f>
        <v>0</v>
      </c>
      <c r="H201" s="172">
        <f>SUM(H202)</f>
        <v>2300</v>
      </c>
      <c r="I201" s="188"/>
      <c r="J201" s="189"/>
      <c r="K201" s="188"/>
      <c r="L201" s="172">
        <f t="shared" si="45"/>
        <v>2300</v>
      </c>
      <c r="M201" s="172">
        <f t="shared" si="45"/>
        <v>0</v>
      </c>
      <c r="N201" s="172">
        <f t="shared" si="45"/>
        <v>2300</v>
      </c>
      <c r="O201" s="178"/>
      <c r="P201" s="92"/>
    </row>
    <row r="202" spans="1:16" ht="31.5" customHeight="1" x14ac:dyDescent="0.2">
      <c r="A202" s="42"/>
      <c r="B202" s="168" t="s">
        <v>74</v>
      </c>
      <c r="C202" s="169" t="s">
        <v>213</v>
      </c>
      <c r="D202" s="170" t="s">
        <v>75</v>
      </c>
      <c r="E202" s="171"/>
      <c r="F202" s="172">
        <v>2300</v>
      </c>
      <c r="G202" s="172"/>
      <c r="H202" s="172">
        <f>SUM(F202)</f>
        <v>2300</v>
      </c>
      <c r="I202" s="188"/>
      <c r="J202" s="189"/>
      <c r="K202" s="188"/>
      <c r="L202" s="172">
        <f t="shared" si="45"/>
        <v>2300</v>
      </c>
      <c r="M202" s="172">
        <f t="shared" si="45"/>
        <v>0</v>
      </c>
      <c r="N202" s="172">
        <f t="shared" si="45"/>
        <v>2300</v>
      </c>
      <c r="O202" s="178"/>
      <c r="P202" s="92"/>
    </row>
    <row r="203" spans="1:16" ht="57" customHeight="1" x14ac:dyDescent="0.2">
      <c r="A203" s="42"/>
      <c r="B203" s="198" t="s">
        <v>471</v>
      </c>
      <c r="C203" s="169" t="s">
        <v>469</v>
      </c>
      <c r="D203" s="170"/>
      <c r="E203" s="171"/>
      <c r="F203" s="172">
        <f>SUM(F204)</f>
        <v>2250</v>
      </c>
      <c r="G203" s="172">
        <f>SUM(G204)</f>
        <v>1100</v>
      </c>
      <c r="H203" s="172">
        <f>SUM(H204)</f>
        <v>3350</v>
      </c>
      <c r="I203" s="188"/>
      <c r="J203" s="189"/>
      <c r="K203" s="188"/>
      <c r="L203" s="172">
        <f t="shared" si="45"/>
        <v>2250</v>
      </c>
      <c r="M203" s="172">
        <f t="shared" si="45"/>
        <v>1100</v>
      </c>
      <c r="N203" s="172">
        <f t="shared" si="45"/>
        <v>3350</v>
      </c>
      <c r="O203" s="178"/>
      <c r="P203" s="92"/>
    </row>
    <row r="204" spans="1:16" ht="52.9" customHeight="1" x14ac:dyDescent="0.2">
      <c r="A204" s="42"/>
      <c r="B204" s="158" t="s">
        <v>480</v>
      </c>
      <c r="C204" s="169" t="s">
        <v>470</v>
      </c>
      <c r="D204" s="170"/>
      <c r="E204" s="171"/>
      <c r="F204" s="172">
        <f>SUM(F205)</f>
        <v>2250</v>
      </c>
      <c r="G204" s="172">
        <f>SUM(G205)</f>
        <v>1100</v>
      </c>
      <c r="H204" s="172">
        <f>SUM(F204)+G204</f>
        <v>3350</v>
      </c>
      <c r="I204" s="188"/>
      <c r="J204" s="189"/>
      <c r="K204" s="188"/>
      <c r="L204" s="172">
        <f t="shared" si="45"/>
        <v>2250</v>
      </c>
      <c r="M204" s="172">
        <f t="shared" si="45"/>
        <v>1100</v>
      </c>
      <c r="N204" s="172">
        <f t="shared" si="45"/>
        <v>3350</v>
      </c>
      <c r="O204" s="178"/>
      <c r="P204" s="92"/>
    </row>
    <row r="205" spans="1:16" ht="31.5" customHeight="1" x14ac:dyDescent="0.2">
      <c r="A205" s="42"/>
      <c r="B205" s="168" t="s">
        <v>74</v>
      </c>
      <c r="C205" s="169" t="s">
        <v>470</v>
      </c>
      <c r="D205" s="170" t="s">
        <v>42</v>
      </c>
      <c r="E205" s="171"/>
      <c r="F205" s="172">
        <v>2250</v>
      </c>
      <c r="G205" s="172">
        <f>909+191</f>
        <v>1100</v>
      </c>
      <c r="H205" s="172">
        <f>SUM(F205)+G205</f>
        <v>3350</v>
      </c>
      <c r="I205" s="188"/>
      <c r="J205" s="189"/>
      <c r="K205" s="188"/>
      <c r="L205" s="172">
        <f t="shared" si="45"/>
        <v>2250</v>
      </c>
      <c r="M205" s="172">
        <f t="shared" si="45"/>
        <v>1100</v>
      </c>
      <c r="N205" s="172">
        <f t="shared" si="45"/>
        <v>3350</v>
      </c>
      <c r="O205" s="178"/>
      <c r="P205" s="92"/>
    </row>
    <row r="206" spans="1:16" ht="49.5" customHeight="1" x14ac:dyDescent="0.2">
      <c r="A206" s="42"/>
      <c r="B206" s="204" t="s">
        <v>214</v>
      </c>
      <c r="C206" s="169" t="s">
        <v>215</v>
      </c>
      <c r="D206" s="170"/>
      <c r="E206" s="171"/>
      <c r="F206" s="172">
        <f>SUM(F207)</f>
        <v>7916.8</v>
      </c>
      <c r="G206" s="172">
        <f>SUM(G207)</f>
        <v>-1000</v>
      </c>
      <c r="H206" s="172">
        <f>SUM(F206)+G206</f>
        <v>6916.8</v>
      </c>
      <c r="I206" s="188"/>
      <c r="J206" s="189"/>
      <c r="K206" s="188"/>
      <c r="L206" s="172">
        <f t="shared" si="45"/>
        <v>7916.8</v>
      </c>
      <c r="M206" s="172">
        <f t="shared" si="45"/>
        <v>-1000</v>
      </c>
      <c r="N206" s="172">
        <f t="shared" si="45"/>
        <v>6916.8</v>
      </c>
      <c r="O206" s="178"/>
      <c r="P206" s="92"/>
    </row>
    <row r="207" spans="1:16" ht="63" x14ac:dyDescent="0.2">
      <c r="A207" s="42"/>
      <c r="B207" s="205" t="s">
        <v>216</v>
      </c>
      <c r="C207" s="169" t="s">
        <v>217</v>
      </c>
      <c r="D207" s="170"/>
      <c r="E207" s="171"/>
      <c r="F207" s="172">
        <v>7916.8</v>
      </c>
      <c r="G207" s="172">
        <f>SUM(G208)</f>
        <v>-1000</v>
      </c>
      <c r="H207" s="172">
        <f>SUM(F207)+G207</f>
        <v>6916.8</v>
      </c>
      <c r="I207" s="188"/>
      <c r="J207" s="189"/>
      <c r="K207" s="188"/>
      <c r="L207" s="172">
        <f t="shared" si="45"/>
        <v>7916.8</v>
      </c>
      <c r="M207" s="172">
        <f t="shared" si="45"/>
        <v>-1000</v>
      </c>
      <c r="N207" s="172">
        <f t="shared" si="45"/>
        <v>6916.8</v>
      </c>
      <c r="O207" s="178"/>
      <c r="P207" s="92"/>
    </row>
    <row r="208" spans="1:16" ht="31.5" x14ac:dyDescent="0.2">
      <c r="A208" s="42"/>
      <c r="B208" s="168" t="s">
        <v>74</v>
      </c>
      <c r="C208" s="169" t="s">
        <v>217</v>
      </c>
      <c r="D208" s="170" t="s">
        <v>42</v>
      </c>
      <c r="E208" s="171"/>
      <c r="F208" s="172">
        <v>7916.8</v>
      </c>
      <c r="G208" s="172">
        <v>-1000</v>
      </c>
      <c r="H208" s="172">
        <f>SUM(F208)+G208</f>
        <v>6916.8</v>
      </c>
      <c r="I208" s="188"/>
      <c r="J208" s="189"/>
      <c r="K208" s="188"/>
      <c r="L208" s="172">
        <f t="shared" si="45"/>
        <v>7916.8</v>
      </c>
      <c r="M208" s="172">
        <f t="shared" si="45"/>
        <v>-1000</v>
      </c>
      <c r="N208" s="172">
        <f t="shared" si="45"/>
        <v>6916.8</v>
      </c>
      <c r="O208" s="178"/>
      <c r="P208" s="92"/>
    </row>
    <row r="209" spans="1:17" ht="29.25" customHeight="1" x14ac:dyDescent="0.2">
      <c r="A209" s="19" t="s">
        <v>218</v>
      </c>
      <c r="B209" s="182" t="s">
        <v>219</v>
      </c>
      <c r="C209" s="183" t="s">
        <v>220</v>
      </c>
      <c r="D209" s="184" t="s">
        <v>26</v>
      </c>
      <c r="E209" s="185"/>
      <c r="F209" s="186">
        <f>F220+F225+F234+F238+F214</f>
        <v>20226.7</v>
      </c>
      <c r="G209" s="186">
        <f>SUM(G215)+G234+G225+G238</f>
        <v>144.80000000000001</v>
      </c>
      <c r="H209" s="186">
        <f>H220+H225+H234+H238+H214+H210</f>
        <v>20371.5</v>
      </c>
      <c r="I209" s="187">
        <f>I220+I225+I234+I238+I214</f>
        <v>151494</v>
      </c>
      <c r="J209" s="186">
        <f>J220+J225+J234+J238+J214</f>
        <v>0</v>
      </c>
      <c r="K209" s="187">
        <f>K220+K225+K234+K238+K214</f>
        <v>151494</v>
      </c>
      <c r="L209" s="186">
        <f>SUM(F209+I209)</f>
        <v>171720.7</v>
      </c>
      <c r="M209" s="186">
        <f>SUM(G209+J209)</f>
        <v>144.80000000000001</v>
      </c>
      <c r="N209" s="186">
        <f>SUM(H209+K209)</f>
        <v>171865.5</v>
      </c>
      <c r="O209" s="178"/>
      <c r="P209" s="92"/>
      <c r="Q209" s="25"/>
    </row>
    <row r="210" spans="1:17" ht="18.75" hidden="1" x14ac:dyDescent="0.2">
      <c r="A210" s="19"/>
      <c r="B210" s="190" t="s">
        <v>177</v>
      </c>
      <c r="C210" s="169"/>
      <c r="D210" s="184"/>
      <c r="E210" s="185"/>
      <c r="F210" s="186"/>
      <c r="G210" s="172"/>
      <c r="H210" s="186">
        <f>SUM(G210)</f>
        <v>0</v>
      </c>
      <c r="I210" s="187"/>
      <c r="J210" s="172">
        <f>SUM(J211)</f>
        <v>0</v>
      </c>
      <c r="K210" s="187">
        <f t="shared" ref="K210:K217" si="46">SUM(J210)</f>
        <v>0</v>
      </c>
      <c r="L210" s="186"/>
      <c r="M210" s="186">
        <f>SUM(G210+J210)</f>
        <v>0</v>
      </c>
      <c r="N210" s="186">
        <f>SUM(H210+K210)</f>
        <v>0</v>
      </c>
      <c r="O210" s="178"/>
      <c r="P210" s="92"/>
      <c r="Q210" s="25"/>
    </row>
    <row r="211" spans="1:17" ht="47.25" hidden="1" x14ac:dyDescent="0.2">
      <c r="A211" s="19"/>
      <c r="B211" s="168" t="s">
        <v>179</v>
      </c>
      <c r="C211" s="169" t="s">
        <v>451</v>
      </c>
      <c r="D211" s="184" t="s">
        <v>26</v>
      </c>
      <c r="E211" s="185"/>
      <c r="F211" s="186"/>
      <c r="G211" s="172"/>
      <c r="H211" s="186">
        <f>SUM(G211)</f>
        <v>0</v>
      </c>
      <c r="I211" s="187"/>
      <c r="J211" s="172">
        <f>SUM(J212)</f>
        <v>0</v>
      </c>
      <c r="K211" s="187">
        <f t="shared" si="46"/>
        <v>0</v>
      </c>
      <c r="L211" s="186"/>
      <c r="M211" s="186">
        <f>SUM(J211)+G211</f>
        <v>0</v>
      </c>
      <c r="N211" s="186">
        <f>SUM(M211)</f>
        <v>0</v>
      </c>
      <c r="O211" s="178"/>
      <c r="P211" s="92"/>
      <c r="Q211" s="25"/>
    </row>
    <row r="212" spans="1:17" ht="31.5" hidden="1" x14ac:dyDescent="0.2">
      <c r="A212" s="19"/>
      <c r="B212" s="168" t="s">
        <v>193</v>
      </c>
      <c r="C212" s="169" t="s">
        <v>451</v>
      </c>
      <c r="D212" s="184"/>
      <c r="E212" s="185"/>
      <c r="F212" s="169"/>
      <c r="G212" s="172"/>
      <c r="H212" s="186">
        <f>SUM(G212)</f>
        <v>0</v>
      </c>
      <c r="I212" s="187"/>
      <c r="J212" s="172">
        <f>SUM(J213)</f>
        <v>0</v>
      </c>
      <c r="K212" s="187">
        <f t="shared" si="46"/>
        <v>0</v>
      </c>
      <c r="L212" s="186"/>
      <c r="M212" s="186">
        <f>SUM(J212)+G212</f>
        <v>0</v>
      </c>
      <c r="N212" s="186">
        <f>SUM(M212)</f>
        <v>0</v>
      </c>
      <c r="O212" s="178"/>
      <c r="P212" s="92"/>
      <c r="Q212" s="25"/>
    </row>
    <row r="213" spans="1:17" ht="31.5" hidden="1" x14ac:dyDescent="0.2">
      <c r="A213" s="19"/>
      <c r="B213" s="168" t="s">
        <v>35</v>
      </c>
      <c r="C213" s="169" t="s">
        <v>451</v>
      </c>
      <c r="D213" s="170" t="s">
        <v>36</v>
      </c>
      <c r="E213" s="185"/>
      <c r="F213" s="186"/>
      <c r="G213" s="172"/>
      <c r="H213" s="186">
        <f>SUM(G213)</f>
        <v>0</v>
      </c>
      <c r="I213" s="187"/>
      <c r="J213" s="172"/>
      <c r="K213" s="187">
        <f t="shared" si="46"/>
        <v>0</v>
      </c>
      <c r="L213" s="186"/>
      <c r="M213" s="186">
        <f>SUM(J213)+G213</f>
        <v>0</v>
      </c>
      <c r="N213" s="186">
        <f>SUM(M213)</f>
        <v>0</v>
      </c>
      <c r="O213" s="178"/>
      <c r="P213" s="92"/>
      <c r="Q213" s="25"/>
    </row>
    <row r="214" spans="1:17" ht="18.75" x14ac:dyDescent="0.2">
      <c r="A214" s="19"/>
      <c r="B214" s="190" t="s">
        <v>221</v>
      </c>
      <c r="C214" s="191" t="s">
        <v>222</v>
      </c>
      <c r="D214" s="192"/>
      <c r="E214" s="193"/>
      <c r="F214" s="172">
        <f>F215</f>
        <v>3478.2</v>
      </c>
      <c r="G214" s="172">
        <f>SUM(G215)</f>
        <v>144.80000000000001</v>
      </c>
      <c r="H214" s="172">
        <f t="shared" ref="H214:H219" si="47">SUM(F214)+G214</f>
        <v>3623</v>
      </c>
      <c r="I214" s="172">
        <f>SUM(I215)</f>
        <v>3300</v>
      </c>
      <c r="J214" s="172">
        <f>SUM(J215)</f>
        <v>0</v>
      </c>
      <c r="K214" s="172">
        <f>SUM(K215)</f>
        <v>3300</v>
      </c>
      <c r="L214" s="172">
        <f>SUM(F214)+I214</f>
        <v>6778.2</v>
      </c>
      <c r="M214" s="194">
        <f>SUM(M215)</f>
        <v>144.80000000000001</v>
      </c>
      <c r="N214" s="172">
        <f>SUM(L214+M214)</f>
        <v>6923</v>
      </c>
      <c r="O214" s="178"/>
      <c r="P214" s="92"/>
      <c r="Q214" s="25"/>
    </row>
    <row r="215" spans="1:17" ht="19.149999999999999" customHeight="1" x14ac:dyDescent="0.2">
      <c r="A215" s="19"/>
      <c r="B215" s="168" t="s">
        <v>223</v>
      </c>
      <c r="C215" s="169" t="s">
        <v>224</v>
      </c>
      <c r="D215" s="170"/>
      <c r="E215" s="171"/>
      <c r="F215" s="172">
        <f>1914.2+F218</f>
        <v>3478.2</v>
      </c>
      <c r="G215" s="172">
        <f>SUM(G216)+G218</f>
        <v>144.80000000000001</v>
      </c>
      <c r="H215" s="172">
        <f t="shared" si="47"/>
        <v>3623</v>
      </c>
      <c r="I215" s="172">
        <f>SUM(I216)+I218</f>
        <v>3300</v>
      </c>
      <c r="J215" s="172"/>
      <c r="K215" s="172">
        <f>SUM(K216)+K218</f>
        <v>3300</v>
      </c>
      <c r="L215" s="172">
        <f>SUM(F215)+I215</f>
        <v>6778.2</v>
      </c>
      <c r="M215" s="172">
        <f>SUM(G215+J215)</f>
        <v>144.80000000000001</v>
      </c>
      <c r="N215" s="172">
        <f>SUM(L215+M215)</f>
        <v>6923</v>
      </c>
      <c r="O215" s="178"/>
      <c r="P215" s="92"/>
      <c r="Q215" s="25"/>
    </row>
    <row r="216" spans="1:17" ht="18.75" x14ac:dyDescent="0.2">
      <c r="A216" s="19"/>
      <c r="B216" s="168" t="s">
        <v>67</v>
      </c>
      <c r="C216" s="169" t="s">
        <v>225</v>
      </c>
      <c r="D216" s="170"/>
      <c r="E216" s="171"/>
      <c r="F216" s="172">
        <v>1914.2</v>
      </c>
      <c r="G216" s="172">
        <f>SUM(G217)</f>
        <v>0</v>
      </c>
      <c r="H216" s="172">
        <f t="shared" si="47"/>
        <v>1914.2</v>
      </c>
      <c r="I216" s="188"/>
      <c r="J216" s="172">
        <f>SUM(J217)</f>
        <v>0</v>
      </c>
      <c r="K216" s="188">
        <f t="shared" si="46"/>
        <v>0</v>
      </c>
      <c r="L216" s="172">
        <f>SUM(F216)</f>
        <v>1914.2</v>
      </c>
      <c r="M216" s="172">
        <f>SUM(M217)</f>
        <v>0</v>
      </c>
      <c r="N216" s="172">
        <f>SUM(L216+M216)</f>
        <v>1914.2</v>
      </c>
      <c r="O216" s="178"/>
      <c r="P216" s="92"/>
      <c r="Q216" s="25"/>
    </row>
    <row r="217" spans="1:17" ht="31.5" x14ac:dyDescent="0.2">
      <c r="A217" s="19"/>
      <c r="B217" s="168" t="s">
        <v>35</v>
      </c>
      <c r="C217" s="169" t="s">
        <v>225</v>
      </c>
      <c r="D217" s="170" t="s">
        <v>36</v>
      </c>
      <c r="E217" s="171"/>
      <c r="F217" s="172">
        <v>1914.2</v>
      </c>
      <c r="G217" s="172"/>
      <c r="H217" s="172">
        <f t="shared" si="47"/>
        <v>1914.2</v>
      </c>
      <c r="I217" s="188"/>
      <c r="J217" s="189"/>
      <c r="K217" s="188">
        <f t="shared" si="46"/>
        <v>0</v>
      </c>
      <c r="L217" s="172">
        <f>SUM(F217)</f>
        <v>1914.2</v>
      </c>
      <c r="M217" s="172">
        <f>SUM(G217)+J217</f>
        <v>0</v>
      </c>
      <c r="N217" s="172">
        <f>SUM(H217+K217)</f>
        <v>1914.2</v>
      </c>
      <c r="O217" s="178"/>
      <c r="P217" s="92"/>
      <c r="Q217" s="25"/>
    </row>
    <row r="218" spans="1:17" ht="31.5" x14ac:dyDescent="0.2">
      <c r="A218" s="19"/>
      <c r="B218" s="168" t="s">
        <v>193</v>
      </c>
      <c r="C218" s="169" t="s">
        <v>451</v>
      </c>
      <c r="D218" s="170"/>
      <c r="E218" s="171"/>
      <c r="F218" s="172">
        <v>1564</v>
      </c>
      <c r="G218" s="172">
        <f>SUM(G219)</f>
        <v>144.80000000000001</v>
      </c>
      <c r="H218" s="172">
        <f t="shared" si="47"/>
        <v>1708.8</v>
      </c>
      <c r="I218" s="188">
        <v>3300</v>
      </c>
      <c r="J218" s="189"/>
      <c r="K218" s="188">
        <f>SUM(I218)</f>
        <v>3300</v>
      </c>
      <c r="L218" s="172">
        <f>SUM(F218+I218)</f>
        <v>4864</v>
      </c>
      <c r="M218" s="172">
        <f>SUM(G218)+J218</f>
        <v>144.80000000000001</v>
      </c>
      <c r="N218" s="172">
        <f>SUM(H218)+K218</f>
        <v>5008.8</v>
      </c>
      <c r="O218" s="178"/>
      <c r="P218" s="92"/>
      <c r="Q218" s="25"/>
    </row>
    <row r="219" spans="1:17" ht="31.5" x14ac:dyDescent="0.2">
      <c r="A219" s="19"/>
      <c r="B219" s="168" t="s">
        <v>35</v>
      </c>
      <c r="C219" s="169" t="s">
        <v>451</v>
      </c>
      <c r="D219" s="170" t="s">
        <v>36</v>
      </c>
      <c r="E219" s="171"/>
      <c r="F219" s="172">
        <v>1564</v>
      </c>
      <c r="G219" s="172">
        <v>144.80000000000001</v>
      </c>
      <c r="H219" s="172">
        <f t="shared" si="47"/>
        <v>1708.8</v>
      </c>
      <c r="I219" s="188">
        <v>3300</v>
      </c>
      <c r="J219" s="189"/>
      <c r="K219" s="188">
        <f>SUM(I219)</f>
        <v>3300</v>
      </c>
      <c r="L219" s="172">
        <f>SUM(F219+I219)</f>
        <v>4864</v>
      </c>
      <c r="M219" s="172">
        <f>SUM(G219)+J219</f>
        <v>144.80000000000001</v>
      </c>
      <c r="N219" s="172">
        <f>SUM(H219)+K219</f>
        <v>5008.8</v>
      </c>
      <c r="O219" s="178"/>
      <c r="P219" s="92"/>
      <c r="Q219" s="25"/>
    </row>
    <row r="220" spans="1:17" ht="31.5" x14ac:dyDescent="0.2">
      <c r="A220" s="49"/>
      <c r="B220" s="206" t="s">
        <v>226</v>
      </c>
      <c r="C220" s="207" t="s">
        <v>227</v>
      </c>
      <c r="D220" s="208" t="s">
        <v>26</v>
      </c>
      <c r="E220" s="209"/>
      <c r="F220" s="210">
        <f t="shared" ref="F220:N221" si="48">F221</f>
        <v>330</v>
      </c>
      <c r="G220" s="210">
        <f t="shared" si="48"/>
        <v>0</v>
      </c>
      <c r="H220" s="210">
        <f t="shared" si="48"/>
        <v>330</v>
      </c>
      <c r="I220" s="211">
        <f t="shared" si="48"/>
        <v>0</v>
      </c>
      <c r="J220" s="212"/>
      <c r="K220" s="211">
        <f t="shared" si="48"/>
        <v>0</v>
      </c>
      <c r="L220" s="210">
        <f t="shared" si="48"/>
        <v>330</v>
      </c>
      <c r="M220" s="210">
        <f t="shared" si="48"/>
        <v>0</v>
      </c>
      <c r="N220" s="210">
        <f t="shared" si="48"/>
        <v>330</v>
      </c>
      <c r="O220" s="178"/>
      <c r="P220" s="92"/>
    </row>
    <row r="221" spans="1:17" ht="31.5" x14ac:dyDescent="0.2">
      <c r="A221" s="42"/>
      <c r="B221" s="168" t="s">
        <v>228</v>
      </c>
      <c r="C221" s="169" t="s">
        <v>229</v>
      </c>
      <c r="D221" s="170" t="s">
        <v>26</v>
      </c>
      <c r="E221" s="171"/>
      <c r="F221" s="172">
        <f t="shared" si="48"/>
        <v>330</v>
      </c>
      <c r="G221" s="172">
        <f t="shared" si="48"/>
        <v>0</v>
      </c>
      <c r="H221" s="172">
        <f t="shared" si="48"/>
        <v>330</v>
      </c>
      <c r="I221" s="188">
        <f t="shared" si="48"/>
        <v>0</v>
      </c>
      <c r="J221" s="189"/>
      <c r="K221" s="188">
        <f t="shared" si="48"/>
        <v>0</v>
      </c>
      <c r="L221" s="172">
        <f t="shared" si="48"/>
        <v>330</v>
      </c>
      <c r="M221" s="172">
        <f t="shared" si="48"/>
        <v>0</v>
      </c>
      <c r="N221" s="172">
        <f t="shared" si="48"/>
        <v>330</v>
      </c>
      <c r="O221" s="178"/>
      <c r="P221" s="92"/>
    </row>
    <row r="222" spans="1:17" ht="31.5" x14ac:dyDescent="0.2">
      <c r="A222" s="42"/>
      <c r="B222" s="168" t="s">
        <v>226</v>
      </c>
      <c r="C222" s="169" t="s">
        <v>230</v>
      </c>
      <c r="D222" s="170" t="s">
        <v>26</v>
      </c>
      <c r="E222" s="171"/>
      <c r="F222" s="172">
        <f>F224+F223</f>
        <v>330</v>
      </c>
      <c r="G222" s="172">
        <f>G224+G223</f>
        <v>0</v>
      </c>
      <c r="H222" s="172">
        <f>H224+H223</f>
        <v>330</v>
      </c>
      <c r="I222" s="188">
        <f>I224+I223</f>
        <v>0</v>
      </c>
      <c r="J222" s="189"/>
      <c r="K222" s="188">
        <f>K224+K223</f>
        <v>0</v>
      </c>
      <c r="L222" s="172">
        <f>L224+L223</f>
        <v>330</v>
      </c>
      <c r="M222" s="172">
        <f>M224+M223</f>
        <v>0</v>
      </c>
      <c r="N222" s="172">
        <f>N224+N223</f>
        <v>330</v>
      </c>
      <c r="O222" s="178"/>
      <c r="P222" s="92"/>
    </row>
    <row r="223" spans="1:17" ht="31.5" x14ac:dyDescent="0.2">
      <c r="A223" s="42"/>
      <c r="B223" s="168" t="s">
        <v>35</v>
      </c>
      <c r="C223" s="169" t="s">
        <v>230</v>
      </c>
      <c r="D223" s="170" t="s">
        <v>36</v>
      </c>
      <c r="E223" s="171"/>
      <c r="F223" s="172">
        <v>200</v>
      </c>
      <c r="G223" s="172"/>
      <c r="H223" s="172">
        <v>200</v>
      </c>
      <c r="I223" s="188">
        <v>0</v>
      </c>
      <c r="J223" s="189"/>
      <c r="K223" s="188">
        <v>0</v>
      </c>
      <c r="L223" s="172">
        <v>200</v>
      </c>
      <c r="M223" s="172"/>
      <c r="N223" s="172">
        <v>200</v>
      </c>
      <c r="O223" s="178"/>
      <c r="P223" s="92"/>
    </row>
    <row r="224" spans="1:17" ht="18.75" x14ac:dyDescent="0.2">
      <c r="A224" s="42"/>
      <c r="B224" s="168" t="s">
        <v>41</v>
      </c>
      <c r="C224" s="169" t="s">
        <v>230</v>
      </c>
      <c r="D224" s="170" t="s">
        <v>42</v>
      </c>
      <c r="E224" s="171"/>
      <c r="F224" s="172">
        <v>130</v>
      </c>
      <c r="G224" s="172"/>
      <c r="H224" s="172">
        <v>130</v>
      </c>
      <c r="I224" s="188">
        <v>0</v>
      </c>
      <c r="J224" s="189"/>
      <c r="K224" s="188">
        <v>0</v>
      </c>
      <c r="L224" s="172">
        <v>130</v>
      </c>
      <c r="M224" s="172"/>
      <c r="N224" s="172">
        <v>130</v>
      </c>
      <c r="O224" s="178"/>
      <c r="P224" s="92"/>
    </row>
    <row r="225" spans="1:16" ht="22.15" customHeight="1" x14ac:dyDescent="0.2">
      <c r="A225" s="49"/>
      <c r="B225" s="190" t="s">
        <v>231</v>
      </c>
      <c r="C225" s="191" t="s">
        <v>232</v>
      </c>
      <c r="D225" s="192" t="s">
        <v>26</v>
      </c>
      <c r="E225" s="193"/>
      <c r="F225" s="194">
        <f t="shared" ref="F225:N226" si="49">F226</f>
        <v>4396.1000000000004</v>
      </c>
      <c r="G225" s="194">
        <f t="shared" si="49"/>
        <v>0</v>
      </c>
      <c r="H225" s="194">
        <f t="shared" si="49"/>
        <v>4396.1000000000004</v>
      </c>
      <c r="I225" s="195">
        <f t="shared" si="49"/>
        <v>0</v>
      </c>
      <c r="J225" s="194">
        <f t="shared" si="49"/>
        <v>0</v>
      </c>
      <c r="K225" s="195">
        <f t="shared" si="49"/>
        <v>0</v>
      </c>
      <c r="L225" s="194">
        <f t="shared" si="49"/>
        <v>4396.1000000000004</v>
      </c>
      <c r="M225" s="194">
        <f t="shared" si="49"/>
        <v>0</v>
      </c>
      <c r="N225" s="194">
        <f t="shared" si="49"/>
        <v>4396.1000000000004</v>
      </c>
      <c r="O225" s="178"/>
      <c r="P225" s="92"/>
    </row>
    <row r="226" spans="1:16" ht="34.9" customHeight="1" x14ac:dyDescent="0.2">
      <c r="A226" s="42"/>
      <c r="B226" s="168" t="s">
        <v>233</v>
      </c>
      <c r="C226" s="169" t="s">
        <v>234</v>
      </c>
      <c r="D226" s="170" t="s">
        <v>26</v>
      </c>
      <c r="E226" s="171"/>
      <c r="F226" s="172">
        <f t="shared" si="49"/>
        <v>4396.1000000000004</v>
      </c>
      <c r="G226" s="172">
        <f>G227+G232</f>
        <v>0</v>
      </c>
      <c r="H226" s="172">
        <f t="shared" si="49"/>
        <v>4396.1000000000004</v>
      </c>
      <c r="I226" s="188">
        <f t="shared" si="49"/>
        <v>0</v>
      </c>
      <c r="J226" s="189"/>
      <c r="K226" s="188">
        <f t="shared" si="49"/>
        <v>0</v>
      </c>
      <c r="L226" s="172">
        <f t="shared" si="49"/>
        <v>4396.1000000000004</v>
      </c>
      <c r="M226" s="172">
        <f>SUM(G226)</f>
        <v>0</v>
      </c>
      <c r="N226" s="172">
        <f>N227</f>
        <v>4396.1000000000004</v>
      </c>
      <c r="O226" s="178"/>
      <c r="P226" s="92"/>
    </row>
    <row r="227" spans="1:16" ht="31.5" x14ac:dyDescent="0.2">
      <c r="A227" s="42"/>
      <c r="B227" s="168" t="s">
        <v>39</v>
      </c>
      <c r="C227" s="169" t="s">
        <v>235</v>
      </c>
      <c r="D227" s="170" t="s">
        <v>26</v>
      </c>
      <c r="E227" s="171"/>
      <c r="F227" s="172">
        <f>F228+F229</f>
        <v>4396.1000000000004</v>
      </c>
      <c r="G227" s="172">
        <f>G228+G229</f>
        <v>0</v>
      </c>
      <c r="H227" s="172">
        <f>H228+H229</f>
        <v>4396.1000000000004</v>
      </c>
      <c r="I227" s="188">
        <f>I228+I229</f>
        <v>0</v>
      </c>
      <c r="J227" s="189"/>
      <c r="K227" s="188">
        <f>K228+K229</f>
        <v>0</v>
      </c>
      <c r="L227" s="172">
        <f>L228+L229</f>
        <v>4396.1000000000004</v>
      </c>
      <c r="M227" s="172">
        <f>M228+M229</f>
        <v>0</v>
      </c>
      <c r="N227" s="172">
        <f>N228+N229</f>
        <v>4396.1000000000004</v>
      </c>
      <c r="O227" s="178"/>
      <c r="P227" s="92"/>
    </row>
    <row r="228" spans="1:16" ht="66" customHeight="1" x14ac:dyDescent="0.2">
      <c r="A228" s="42"/>
      <c r="B228" s="168" t="s">
        <v>31</v>
      </c>
      <c r="C228" s="169" t="s">
        <v>235</v>
      </c>
      <c r="D228" s="170" t="s">
        <v>32</v>
      </c>
      <c r="E228" s="171"/>
      <c r="F228" s="172">
        <v>4250.6000000000004</v>
      </c>
      <c r="G228" s="172"/>
      <c r="H228" s="172">
        <f>SUM(F228)</f>
        <v>4250.6000000000004</v>
      </c>
      <c r="I228" s="188">
        <v>0</v>
      </c>
      <c r="J228" s="189"/>
      <c r="K228" s="188">
        <v>0</v>
      </c>
      <c r="L228" s="172">
        <f>SUM(F228)</f>
        <v>4250.6000000000004</v>
      </c>
      <c r="M228" s="172">
        <f>SUM(G228)</f>
        <v>0</v>
      </c>
      <c r="N228" s="172">
        <f>SUM(H228)</f>
        <v>4250.6000000000004</v>
      </c>
      <c r="O228" s="178"/>
      <c r="P228" s="92"/>
    </row>
    <row r="229" spans="1:16" ht="30.75" customHeight="1" x14ac:dyDescent="0.2">
      <c r="A229" s="42"/>
      <c r="B229" s="168" t="s">
        <v>35</v>
      </c>
      <c r="C229" s="169" t="s">
        <v>235</v>
      </c>
      <c r="D229" s="170" t="s">
        <v>36</v>
      </c>
      <c r="E229" s="171"/>
      <c r="F229" s="172">
        <v>145.5</v>
      </c>
      <c r="G229" s="172"/>
      <c r="H229" s="172">
        <v>145.5</v>
      </c>
      <c r="I229" s="188">
        <v>0</v>
      </c>
      <c r="J229" s="189"/>
      <c r="K229" s="188">
        <v>0</v>
      </c>
      <c r="L229" s="172">
        <v>145.5</v>
      </c>
      <c r="M229" s="172"/>
      <c r="N229" s="172">
        <v>145.5</v>
      </c>
      <c r="O229" s="178"/>
      <c r="P229" s="92"/>
    </row>
    <row r="230" spans="1:16" ht="18.75" hidden="1" x14ac:dyDescent="0.2">
      <c r="A230" s="42"/>
      <c r="B230" s="168"/>
      <c r="C230" s="169"/>
      <c r="D230" s="170"/>
      <c r="E230" s="171"/>
      <c r="F230" s="172"/>
      <c r="G230" s="172"/>
      <c r="H230" s="172"/>
      <c r="I230" s="188"/>
      <c r="J230" s="189"/>
      <c r="K230" s="188"/>
      <c r="L230" s="172"/>
      <c r="M230" s="172"/>
      <c r="N230" s="172"/>
      <c r="O230" s="178"/>
      <c r="P230" s="92"/>
    </row>
    <row r="231" spans="1:16" ht="18.75" hidden="1" x14ac:dyDescent="0.2">
      <c r="A231" s="42"/>
      <c r="B231" s="168"/>
      <c r="C231" s="169" t="s">
        <v>457</v>
      </c>
      <c r="D231" s="170"/>
      <c r="E231" s="171"/>
      <c r="F231" s="172"/>
      <c r="G231" s="172"/>
      <c r="H231" s="172"/>
      <c r="I231" s="188"/>
      <c r="J231" s="189"/>
      <c r="K231" s="188"/>
      <c r="L231" s="172"/>
      <c r="M231" s="172"/>
      <c r="N231" s="172"/>
      <c r="O231" s="178"/>
      <c r="P231" s="92"/>
    </row>
    <row r="232" spans="1:16" ht="47.25" hidden="1" x14ac:dyDescent="0.2">
      <c r="A232" s="42"/>
      <c r="B232" s="168" t="s">
        <v>458</v>
      </c>
      <c r="C232" s="169" t="s">
        <v>457</v>
      </c>
      <c r="D232" s="170"/>
      <c r="E232" s="171"/>
      <c r="F232" s="172"/>
      <c r="G232" s="172">
        <f>SUM(G233)</f>
        <v>0</v>
      </c>
      <c r="H232" s="172"/>
      <c r="I232" s="188"/>
      <c r="J232" s="189"/>
      <c r="K232" s="188"/>
      <c r="L232" s="172"/>
      <c r="M232" s="172">
        <f>SUM(G232)</f>
        <v>0</v>
      </c>
      <c r="N232" s="172">
        <f>SUM(H232)</f>
        <v>0</v>
      </c>
      <c r="O232" s="178"/>
      <c r="P232" s="92"/>
    </row>
    <row r="233" spans="1:16" ht="18.75" hidden="1" x14ac:dyDescent="0.2">
      <c r="A233" s="42"/>
      <c r="B233" s="168" t="s">
        <v>278</v>
      </c>
      <c r="C233" s="169" t="s">
        <v>457</v>
      </c>
      <c r="D233" s="170" t="s">
        <v>279</v>
      </c>
      <c r="E233" s="171"/>
      <c r="F233" s="172"/>
      <c r="G233" s="172"/>
      <c r="H233" s="172">
        <f>SUM(G233)</f>
        <v>0</v>
      </c>
      <c r="I233" s="188"/>
      <c r="J233" s="189"/>
      <c r="K233" s="188"/>
      <c r="L233" s="172"/>
      <c r="M233" s="172">
        <f>SUM(G233)</f>
        <v>0</v>
      </c>
      <c r="N233" s="172">
        <f>SUM(H233)</f>
        <v>0</v>
      </c>
      <c r="O233" s="178"/>
      <c r="P233" s="92"/>
    </row>
    <row r="234" spans="1:16" ht="48.6" customHeight="1" x14ac:dyDescent="0.2">
      <c r="A234" s="49"/>
      <c r="B234" s="190" t="s">
        <v>236</v>
      </c>
      <c r="C234" s="191" t="s">
        <v>237</v>
      </c>
      <c r="D234" s="192" t="s">
        <v>26</v>
      </c>
      <c r="E234" s="193"/>
      <c r="F234" s="194">
        <f t="shared" ref="F234:N236" si="50">F235</f>
        <v>800</v>
      </c>
      <c r="G234" s="194">
        <f t="shared" si="50"/>
        <v>0</v>
      </c>
      <c r="H234" s="194">
        <f t="shared" si="50"/>
        <v>800</v>
      </c>
      <c r="I234" s="195">
        <f t="shared" si="50"/>
        <v>0</v>
      </c>
      <c r="J234" s="194">
        <f>J235</f>
        <v>0</v>
      </c>
      <c r="K234" s="195">
        <f t="shared" si="50"/>
        <v>0</v>
      </c>
      <c r="L234" s="194">
        <f t="shared" si="50"/>
        <v>800</v>
      </c>
      <c r="M234" s="194">
        <f t="shared" si="50"/>
        <v>0</v>
      </c>
      <c r="N234" s="194">
        <f t="shared" si="50"/>
        <v>800</v>
      </c>
      <c r="O234" s="178"/>
      <c r="P234" s="92"/>
    </row>
    <row r="235" spans="1:16" ht="33.6" customHeight="1" x14ac:dyDescent="0.2">
      <c r="A235" s="42"/>
      <c r="B235" s="168" t="s">
        <v>238</v>
      </c>
      <c r="C235" s="169" t="s">
        <v>239</v>
      </c>
      <c r="D235" s="170" t="s">
        <v>26</v>
      </c>
      <c r="E235" s="171"/>
      <c r="F235" s="172">
        <f t="shared" si="50"/>
        <v>800</v>
      </c>
      <c r="G235" s="172">
        <f t="shared" si="50"/>
        <v>0</v>
      </c>
      <c r="H235" s="172">
        <f t="shared" si="50"/>
        <v>800</v>
      </c>
      <c r="I235" s="188">
        <f t="shared" si="50"/>
        <v>0</v>
      </c>
      <c r="J235" s="189"/>
      <c r="K235" s="188">
        <f t="shared" si="50"/>
        <v>0</v>
      </c>
      <c r="L235" s="172">
        <f t="shared" si="50"/>
        <v>800</v>
      </c>
      <c r="M235" s="172">
        <f t="shared" si="50"/>
        <v>0</v>
      </c>
      <c r="N235" s="172">
        <f t="shared" si="50"/>
        <v>800</v>
      </c>
      <c r="O235" s="178"/>
      <c r="P235" s="92"/>
    </row>
    <row r="236" spans="1:16" ht="18.75" x14ac:dyDescent="0.2">
      <c r="A236" s="42"/>
      <c r="B236" s="168" t="s">
        <v>240</v>
      </c>
      <c r="C236" s="169" t="s">
        <v>241</v>
      </c>
      <c r="D236" s="170" t="s">
        <v>26</v>
      </c>
      <c r="E236" s="171"/>
      <c r="F236" s="172">
        <f t="shared" si="50"/>
        <v>800</v>
      </c>
      <c r="G236" s="172">
        <f t="shared" si="50"/>
        <v>0</v>
      </c>
      <c r="H236" s="172">
        <f t="shared" si="50"/>
        <v>800</v>
      </c>
      <c r="I236" s="188">
        <f t="shared" si="50"/>
        <v>0</v>
      </c>
      <c r="J236" s="189"/>
      <c r="K236" s="188">
        <f t="shared" si="50"/>
        <v>0</v>
      </c>
      <c r="L236" s="172">
        <f t="shared" si="50"/>
        <v>800</v>
      </c>
      <c r="M236" s="172">
        <f t="shared" si="50"/>
        <v>0</v>
      </c>
      <c r="N236" s="172">
        <f t="shared" si="50"/>
        <v>800</v>
      </c>
      <c r="O236" s="178"/>
      <c r="P236" s="92"/>
    </row>
    <row r="237" spans="1:16" ht="31.5" x14ac:dyDescent="0.2">
      <c r="A237" s="42"/>
      <c r="B237" s="168" t="s">
        <v>35</v>
      </c>
      <c r="C237" s="169" t="s">
        <v>241</v>
      </c>
      <c r="D237" s="170" t="s">
        <v>36</v>
      </c>
      <c r="E237" s="171"/>
      <c r="F237" s="172">
        <v>800</v>
      </c>
      <c r="G237" s="172"/>
      <c r="H237" s="172">
        <v>800</v>
      </c>
      <c r="I237" s="188">
        <v>0</v>
      </c>
      <c r="J237" s="189"/>
      <c r="K237" s="188">
        <v>0</v>
      </c>
      <c r="L237" s="172">
        <f>SUM(F237)</f>
        <v>800</v>
      </c>
      <c r="M237" s="172">
        <f>SUM(G237)</f>
        <v>0</v>
      </c>
      <c r="N237" s="172">
        <f>SUM(H237)</f>
        <v>800</v>
      </c>
      <c r="O237" s="178"/>
      <c r="P237" s="92"/>
    </row>
    <row r="238" spans="1:16" ht="18.75" x14ac:dyDescent="0.2">
      <c r="A238" s="49"/>
      <c r="B238" s="190" t="s">
        <v>140</v>
      </c>
      <c r="C238" s="191" t="s">
        <v>242</v>
      </c>
      <c r="D238" s="192" t="s">
        <v>26</v>
      </c>
      <c r="E238" s="193"/>
      <c r="F238" s="194">
        <f t="shared" ref="F238:N240" si="51">F239</f>
        <v>11222.4</v>
      </c>
      <c r="G238" s="194">
        <f t="shared" si="51"/>
        <v>0</v>
      </c>
      <c r="H238" s="194">
        <f t="shared" si="51"/>
        <v>11222.4</v>
      </c>
      <c r="I238" s="195">
        <f t="shared" si="51"/>
        <v>148194</v>
      </c>
      <c r="J238" s="194">
        <f>J239</f>
        <v>0</v>
      </c>
      <c r="K238" s="195">
        <f t="shared" si="51"/>
        <v>148194</v>
      </c>
      <c r="L238" s="194">
        <f t="shared" si="51"/>
        <v>159416.4</v>
      </c>
      <c r="M238" s="194">
        <f t="shared" si="51"/>
        <v>0</v>
      </c>
      <c r="N238" s="194">
        <f t="shared" si="51"/>
        <v>159416.4</v>
      </c>
      <c r="O238" s="178"/>
      <c r="P238" s="92"/>
    </row>
    <row r="239" spans="1:16" ht="31.5" x14ac:dyDescent="0.2">
      <c r="A239" s="42"/>
      <c r="B239" s="168" t="s">
        <v>243</v>
      </c>
      <c r="C239" s="169" t="s">
        <v>244</v>
      </c>
      <c r="D239" s="170" t="s">
        <v>26</v>
      </c>
      <c r="E239" s="171"/>
      <c r="F239" s="172">
        <f>F240+F242</f>
        <v>11222.4</v>
      </c>
      <c r="G239" s="172">
        <f>G240+G242</f>
        <v>0</v>
      </c>
      <c r="H239" s="172">
        <f>H240+H242</f>
        <v>11222.4</v>
      </c>
      <c r="I239" s="188">
        <f t="shared" si="51"/>
        <v>148194</v>
      </c>
      <c r="J239" s="189"/>
      <c r="K239" s="188">
        <f t="shared" si="51"/>
        <v>148194</v>
      </c>
      <c r="L239" s="172">
        <f>L240+L242</f>
        <v>159416.4</v>
      </c>
      <c r="M239" s="172">
        <f>M240+M242</f>
        <v>0</v>
      </c>
      <c r="N239" s="172">
        <f>N240+N242</f>
        <v>159416.4</v>
      </c>
      <c r="O239" s="178"/>
      <c r="P239" s="92"/>
    </row>
    <row r="240" spans="1:16" ht="97.15" customHeight="1" x14ac:dyDescent="0.2">
      <c r="A240" s="42"/>
      <c r="B240" s="168" t="s">
        <v>478</v>
      </c>
      <c r="C240" s="169" t="s">
        <v>246</v>
      </c>
      <c r="D240" s="170" t="s">
        <v>26</v>
      </c>
      <c r="E240" s="171"/>
      <c r="F240" s="172">
        <f t="shared" si="51"/>
        <v>7799.8</v>
      </c>
      <c r="G240" s="172">
        <f t="shared" si="51"/>
        <v>0</v>
      </c>
      <c r="H240" s="172">
        <f t="shared" si="51"/>
        <v>7799.8</v>
      </c>
      <c r="I240" s="188">
        <f t="shared" si="51"/>
        <v>148194</v>
      </c>
      <c r="J240" s="189"/>
      <c r="K240" s="188">
        <f t="shared" si="51"/>
        <v>148194</v>
      </c>
      <c r="L240" s="172">
        <f t="shared" si="51"/>
        <v>155993.79999999999</v>
      </c>
      <c r="M240" s="172">
        <f t="shared" si="51"/>
        <v>0</v>
      </c>
      <c r="N240" s="172">
        <f t="shared" si="51"/>
        <v>155993.79999999999</v>
      </c>
      <c r="O240" s="178"/>
      <c r="P240" s="92"/>
    </row>
    <row r="241" spans="1:17" ht="31.5" x14ac:dyDescent="0.2">
      <c r="A241" s="42"/>
      <c r="B241" s="168" t="s">
        <v>131</v>
      </c>
      <c r="C241" s="169" t="s">
        <v>246</v>
      </c>
      <c r="D241" s="170" t="s">
        <v>132</v>
      </c>
      <c r="E241" s="171"/>
      <c r="F241" s="172">
        <v>7799.8</v>
      </c>
      <c r="G241" s="172"/>
      <c r="H241" s="172">
        <f>SUM(F241)</f>
        <v>7799.8</v>
      </c>
      <c r="I241" s="188">
        <v>148194</v>
      </c>
      <c r="J241" s="189"/>
      <c r="K241" s="188">
        <f>SUM(I241)</f>
        <v>148194</v>
      </c>
      <c r="L241" s="172">
        <f>SUM(F241+I241)</f>
        <v>155993.79999999999</v>
      </c>
      <c r="M241" s="172">
        <f>SUM(G241)+J241</f>
        <v>0</v>
      </c>
      <c r="N241" s="172">
        <f>SUM(H241+K241)</f>
        <v>155993.79999999999</v>
      </c>
      <c r="O241" s="178"/>
      <c r="P241" s="92"/>
    </row>
    <row r="242" spans="1:17" ht="78.75" x14ac:dyDescent="0.2">
      <c r="A242" s="42"/>
      <c r="B242" s="198" t="s">
        <v>479</v>
      </c>
      <c r="C242" s="169" t="s">
        <v>461</v>
      </c>
      <c r="D242" s="170"/>
      <c r="E242" s="171"/>
      <c r="F242" s="172">
        <v>3422.6</v>
      </c>
      <c r="G242" s="172">
        <f>G243</f>
        <v>0</v>
      </c>
      <c r="H242" s="172">
        <f>SUM(F242:G242)</f>
        <v>3422.6</v>
      </c>
      <c r="I242" s="188"/>
      <c r="J242" s="189"/>
      <c r="K242" s="188"/>
      <c r="L242" s="172">
        <f>L243</f>
        <v>3422.6</v>
      </c>
      <c r="M242" s="172">
        <f>M243</f>
        <v>0</v>
      </c>
      <c r="N242" s="172">
        <f>N243</f>
        <v>3422.6</v>
      </c>
      <c r="O242" s="178"/>
      <c r="P242" s="92"/>
    </row>
    <row r="243" spans="1:17" ht="31.5" x14ac:dyDescent="0.2">
      <c r="A243" s="42"/>
      <c r="B243" s="168" t="s">
        <v>131</v>
      </c>
      <c r="C243" s="169" t="s">
        <v>461</v>
      </c>
      <c r="D243" s="170" t="s">
        <v>132</v>
      </c>
      <c r="E243" s="171"/>
      <c r="F243" s="172">
        <v>3422.6</v>
      </c>
      <c r="G243" s="172"/>
      <c r="H243" s="172">
        <f>SUM(F243:G243)</f>
        <v>3422.6</v>
      </c>
      <c r="I243" s="188"/>
      <c r="J243" s="189"/>
      <c r="K243" s="188"/>
      <c r="L243" s="172">
        <f>SUM(F243)</f>
        <v>3422.6</v>
      </c>
      <c r="M243" s="172">
        <f>SUM(G243)</f>
        <v>0</v>
      </c>
      <c r="N243" s="172">
        <f>SUM(L243:M243)</f>
        <v>3422.6</v>
      </c>
      <c r="O243" s="178"/>
      <c r="P243" s="92"/>
    </row>
    <row r="244" spans="1:17" ht="31.5" x14ac:dyDescent="0.2">
      <c r="A244" s="19" t="s">
        <v>247</v>
      </c>
      <c r="B244" s="182" t="s">
        <v>248</v>
      </c>
      <c r="C244" s="183" t="s">
        <v>249</v>
      </c>
      <c r="D244" s="184" t="s">
        <v>26</v>
      </c>
      <c r="E244" s="185"/>
      <c r="F244" s="186">
        <f t="shared" ref="F244:N244" si="52">F245+F249</f>
        <v>5466</v>
      </c>
      <c r="G244" s="186">
        <f t="shared" si="52"/>
        <v>120</v>
      </c>
      <c r="H244" s="186">
        <f t="shared" si="52"/>
        <v>5586</v>
      </c>
      <c r="I244" s="187">
        <f t="shared" si="52"/>
        <v>0</v>
      </c>
      <c r="J244" s="186">
        <f t="shared" si="52"/>
        <v>0</v>
      </c>
      <c r="K244" s="187">
        <f t="shared" si="52"/>
        <v>0</v>
      </c>
      <c r="L244" s="186">
        <f t="shared" si="52"/>
        <v>5466</v>
      </c>
      <c r="M244" s="186">
        <f t="shared" si="52"/>
        <v>120</v>
      </c>
      <c r="N244" s="186">
        <f t="shared" si="52"/>
        <v>5586</v>
      </c>
      <c r="O244" s="178"/>
      <c r="P244" s="92"/>
    </row>
    <row r="245" spans="1:17" ht="18.75" x14ac:dyDescent="0.2">
      <c r="A245" s="49"/>
      <c r="B245" s="190" t="s">
        <v>250</v>
      </c>
      <c r="C245" s="191" t="s">
        <v>251</v>
      </c>
      <c r="D245" s="192" t="s">
        <v>26</v>
      </c>
      <c r="E245" s="193"/>
      <c r="F245" s="194">
        <f t="shared" ref="F245:N247" si="53">F246</f>
        <v>3500</v>
      </c>
      <c r="G245" s="194">
        <f t="shared" si="53"/>
        <v>0</v>
      </c>
      <c r="H245" s="194">
        <f t="shared" si="53"/>
        <v>3500</v>
      </c>
      <c r="I245" s="195">
        <f t="shared" si="53"/>
        <v>0</v>
      </c>
      <c r="J245" s="194">
        <f>J246</f>
        <v>0</v>
      </c>
      <c r="K245" s="195">
        <f t="shared" si="53"/>
        <v>0</v>
      </c>
      <c r="L245" s="194">
        <f t="shared" si="53"/>
        <v>3500</v>
      </c>
      <c r="M245" s="194">
        <f t="shared" si="53"/>
        <v>0</v>
      </c>
      <c r="N245" s="194">
        <f t="shared" si="53"/>
        <v>3500</v>
      </c>
      <c r="O245" s="178"/>
      <c r="P245" s="92"/>
    </row>
    <row r="246" spans="1:17" ht="31.5" x14ac:dyDescent="0.2">
      <c r="A246" s="42"/>
      <c r="B246" s="168" t="s">
        <v>252</v>
      </c>
      <c r="C246" s="169" t="s">
        <v>253</v>
      </c>
      <c r="D246" s="170" t="s">
        <v>26</v>
      </c>
      <c r="E246" s="171"/>
      <c r="F246" s="172">
        <f t="shared" si="53"/>
        <v>3500</v>
      </c>
      <c r="G246" s="172">
        <f t="shared" si="53"/>
        <v>0</v>
      </c>
      <c r="H246" s="172">
        <f t="shared" si="53"/>
        <v>3500</v>
      </c>
      <c r="I246" s="188">
        <f t="shared" si="53"/>
        <v>0</v>
      </c>
      <c r="J246" s="189"/>
      <c r="K246" s="188">
        <f t="shared" si="53"/>
        <v>0</v>
      </c>
      <c r="L246" s="172">
        <f t="shared" si="53"/>
        <v>3500</v>
      </c>
      <c r="M246" s="172">
        <f t="shared" si="53"/>
        <v>0</v>
      </c>
      <c r="N246" s="172">
        <f t="shared" si="53"/>
        <v>3500</v>
      </c>
      <c r="O246" s="178"/>
      <c r="P246" s="92"/>
    </row>
    <row r="247" spans="1:17" ht="31.5" x14ac:dyDescent="0.2">
      <c r="A247" s="42"/>
      <c r="B247" s="168" t="s">
        <v>254</v>
      </c>
      <c r="C247" s="169" t="s">
        <v>255</v>
      </c>
      <c r="D247" s="170" t="s">
        <v>26</v>
      </c>
      <c r="E247" s="171"/>
      <c r="F247" s="172">
        <f t="shared" si="53"/>
        <v>3500</v>
      </c>
      <c r="G247" s="172">
        <f t="shared" si="53"/>
        <v>0</v>
      </c>
      <c r="H247" s="172">
        <f t="shared" si="53"/>
        <v>3500</v>
      </c>
      <c r="I247" s="188">
        <f t="shared" si="53"/>
        <v>0</v>
      </c>
      <c r="J247" s="189"/>
      <c r="K247" s="188">
        <f t="shared" si="53"/>
        <v>0</v>
      </c>
      <c r="L247" s="172">
        <f t="shared" si="53"/>
        <v>3500</v>
      </c>
      <c r="M247" s="172">
        <f t="shared" si="53"/>
        <v>0</v>
      </c>
      <c r="N247" s="172">
        <f t="shared" si="53"/>
        <v>3500</v>
      </c>
      <c r="O247" s="178"/>
      <c r="P247" s="92"/>
    </row>
    <row r="248" spans="1:17" ht="31.5" x14ac:dyDescent="0.2">
      <c r="A248" s="42"/>
      <c r="B248" s="168" t="s">
        <v>35</v>
      </c>
      <c r="C248" s="169" t="s">
        <v>255</v>
      </c>
      <c r="D248" s="170" t="s">
        <v>36</v>
      </c>
      <c r="E248" s="171"/>
      <c r="F248" s="172">
        <v>3500</v>
      </c>
      <c r="G248" s="172"/>
      <c r="H248" s="172">
        <v>3500</v>
      </c>
      <c r="I248" s="188">
        <v>0</v>
      </c>
      <c r="J248" s="189"/>
      <c r="K248" s="188">
        <v>0</v>
      </c>
      <c r="L248" s="172">
        <v>3500</v>
      </c>
      <c r="M248" s="172"/>
      <c r="N248" s="172">
        <v>3500</v>
      </c>
      <c r="O248" s="178"/>
      <c r="P248" s="92"/>
    </row>
    <row r="249" spans="1:17" ht="18.75" x14ac:dyDescent="0.2">
      <c r="A249" s="49"/>
      <c r="B249" s="190" t="s">
        <v>256</v>
      </c>
      <c r="C249" s="191" t="s">
        <v>257</v>
      </c>
      <c r="D249" s="192" t="s">
        <v>26</v>
      </c>
      <c r="E249" s="193"/>
      <c r="F249" s="194">
        <f t="shared" ref="F249:N251" si="54">F250</f>
        <v>1966</v>
      </c>
      <c r="G249" s="194">
        <f t="shared" si="54"/>
        <v>120</v>
      </c>
      <c r="H249" s="194">
        <f t="shared" si="54"/>
        <v>2086</v>
      </c>
      <c r="I249" s="195">
        <f t="shared" si="54"/>
        <v>0</v>
      </c>
      <c r="J249" s="194">
        <f>J250</f>
        <v>0</v>
      </c>
      <c r="K249" s="195">
        <f t="shared" si="54"/>
        <v>0</v>
      </c>
      <c r="L249" s="194">
        <f t="shared" si="54"/>
        <v>1966</v>
      </c>
      <c r="M249" s="194">
        <f t="shared" si="54"/>
        <v>120</v>
      </c>
      <c r="N249" s="194">
        <f t="shared" si="54"/>
        <v>2086</v>
      </c>
      <c r="O249" s="178"/>
      <c r="P249" s="92"/>
    </row>
    <row r="250" spans="1:17" ht="31.5" x14ac:dyDescent="0.2">
      <c r="A250" s="42"/>
      <c r="B250" s="168" t="s">
        <v>258</v>
      </c>
      <c r="C250" s="169" t="s">
        <v>259</v>
      </c>
      <c r="D250" s="170" t="s">
        <v>26</v>
      </c>
      <c r="E250" s="171"/>
      <c r="F250" s="172">
        <f t="shared" si="54"/>
        <v>1966</v>
      </c>
      <c r="G250" s="172">
        <f t="shared" si="54"/>
        <v>120</v>
      </c>
      <c r="H250" s="172">
        <f t="shared" si="54"/>
        <v>2086</v>
      </c>
      <c r="I250" s="188">
        <f t="shared" si="54"/>
        <v>0</v>
      </c>
      <c r="J250" s="189"/>
      <c r="K250" s="188">
        <f t="shared" si="54"/>
        <v>0</v>
      </c>
      <c r="L250" s="172">
        <f t="shared" si="54"/>
        <v>1966</v>
      </c>
      <c r="M250" s="172">
        <f t="shared" si="54"/>
        <v>120</v>
      </c>
      <c r="N250" s="172">
        <f t="shared" si="54"/>
        <v>2086</v>
      </c>
      <c r="O250" s="178"/>
      <c r="P250" s="92"/>
    </row>
    <row r="251" spans="1:17" ht="31.5" x14ac:dyDescent="0.2">
      <c r="A251" s="42"/>
      <c r="B251" s="168" t="s">
        <v>254</v>
      </c>
      <c r="C251" s="169" t="s">
        <v>260</v>
      </c>
      <c r="D251" s="170" t="s">
        <v>26</v>
      </c>
      <c r="E251" s="171"/>
      <c r="F251" s="172">
        <f t="shared" si="54"/>
        <v>1966</v>
      </c>
      <c r="G251" s="172">
        <f t="shared" si="54"/>
        <v>120</v>
      </c>
      <c r="H251" s="172">
        <f t="shared" si="54"/>
        <v>2086</v>
      </c>
      <c r="I251" s="188">
        <f t="shared" si="54"/>
        <v>0</v>
      </c>
      <c r="J251" s="189"/>
      <c r="K251" s="188">
        <f t="shared" si="54"/>
        <v>0</v>
      </c>
      <c r="L251" s="172">
        <f t="shared" si="54"/>
        <v>1966</v>
      </c>
      <c r="M251" s="172">
        <f t="shared" si="54"/>
        <v>120</v>
      </c>
      <c r="N251" s="172">
        <f t="shared" si="54"/>
        <v>2086</v>
      </c>
      <c r="O251" s="178"/>
      <c r="P251" s="92"/>
    </row>
    <row r="252" spans="1:17" ht="63" x14ac:dyDescent="0.2">
      <c r="A252" s="42"/>
      <c r="B252" s="168" t="s">
        <v>261</v>
      </c>
      <c r="C252" s="169" t="s">
        <v>260</v>
      </c>
      <c r="D252" s="170" t="s">
        <v>36</v>
      </c>
      <c r="E252" s="171"/>
      <c r="F252" s="172">
        <v>1966</v>
      </c>
      <c r="G252" s="172">
        <v>120</v>
      </c>
      <c r="H252" s="172">
        <f>SUM(F252)+G252</f>
        <v>2086</v>
      </c>
      <c r="I252" s="188">
        <v>0</v>
      </c>
      <c r="J252" s="189"/>
      <c r="K252" s="188">
        <v>0</v>
      </c>
      <c r="L252" s="172">
        <f>SUM(F252)</f>
        <v>1966</v>
      </c>
      <c r="M252" s="172">
        <f>SUM(G252)</f>
        <v>120</v>
      </c>
      <c r="N252" s="172">
        <f>SUM(H252)</f>
        <v>2086</v>
      </c>
      <c r="O252" s="178"/>
      <c r="P252" s="92"/>
    </row>
    <row r="253" spans="1:17" ht="31.5" x14ac:dyDescent="0.2">
      <c r="A253" s="19" t="s">
        <v>262</v>
      </c>
      <c r="B253" s="182" t="s">
        <v>263</v>
      </c>
      <c r="C253" s="183" t="s">
        <v>264</v>
      </c>
      <c r="D253" s="184" t="s">
        <v>26</v>
      </c>
      <c r="E253" s="185"/>
      <c r="F253" s="186">
        <f t="shared" ref="F253:N253" si="55">F254+F276+F280+F286+F290</f>
        <v>45075.600000000006</v>
      </c>
      <c r="G253" s="186">
        <f t="shared" si="55"/>
        <v>632</v>
      </c>
      <c r="H253" s="186">
        <f t="shared" si="55"/>
        <v>45707.600000000006</v>
      </c>
      <c r="I253" s="187">
        <f t="shared" si="55"/>
        <v>0</v>
      </c>
      <c r="J253" s="186">
        <f t="shared" si="55"/>
        <v>0</v>
      </c>
      <c r="K253" s="187">
        <f t="shared" si="55"/>
        <v>0</v>
      </c>
      <c r="L253" s="186">
        <f t="shared" si="55"/>
        <v>45075.600000000006</v>
      </c>
      <c r="M253" s="186">
        <f t="shared" si="55"/>
        <v>632</v>
      </c>
      <c r="N253" s="186">
        <f t="shared" si="55"/>
        <v>45707.600000000006</v>
      </c>
      <c r="O253" s="178"/>
      <c r="P253" s="92"/>
      <c r="Q253" s="25"/>
    </row>
    <row r="254" spans="1:17" ht="49.9" customHeight="1" x14ac:dyDescent="0.2">
      <c r="A254" s="49"/>
      <c r="B254" s="190" t="s">
        <v>265</v>
      </c>
      <c r="C254" s="191" t="s">
        <v>266</v>
      </c>
      <c r="D254" s="192" t="s">
        <v>26</v>
      </c>
      <c r="E254" s="193"/>
      <c r="F254" s="194">
        <f t="shared" ref="F254:N254" si="56">F255+F266+F269</f>
        <v>34499.4</v>
      </c>
      <c r="G254" s="194">
        <f t="shared" si="56"/>
        <v>180</v>
      </c>
      <c r="H254" s="194">
        <f t="shared" si="56"/>
        <v>34679.4</v>
      </c>
      <c r="I254" s="195">
        <f t="shared" si="56"/>
        <v>0</v>
      </c>
      <c r="J254" s="194">
        <f t="shared" si="56"/>
        <v>0</v>
      </c>
      <c r="K254" s="195">
        <f t="shared" si="56"/>
        <v>0</v>
      </c>
      <c r="L254" s="194">
        <f t="shared" si="56"/>
        <v>34499.4</v>
      </c>
      <c r="M254" s="194">
        <f t="shared" si="56"/>
        <v>180</v>
      </c>
      <c r="N254" s="194">
        <f t="shared" si="56"/>
        <v>34679.4</v>
      </c>
      <c r="O254" s="178"/>
      <c r="P254" s="92"/>
      <c r="Q254" s="55"/>
    </row>
    <row r="255" spans="1:17" ht="50.45" customHeight="1" x14ac:dyDescent="0.2">
      <c r="A255" s="42"/>
      <c r="B255" s="168" t="s">
        <v>267</v>
      </c>
      <c r="C255" s="169" t="s">
        <v>268</v>
      </c>
      <c r="D255" s="170" t="s">
        <v>26</v>
      </c>
      <c r="E255" s="171"/>
      <c r="F255" s="172">
        <f>F256+F260+F264+F262</f>
        <v>19398.7</v>
      </c>
      <c r="G255" s="172">
        <f>G256+G260+G264+G262</f>
        <v>180</v>
      </c>
      <c r="H255" s="172">
        <f>H256+H260+H264+H262</f>
        <v>19578.7</v>
      </c>
      <c r="I255" s="188">
        <f>I256+I260+I264</f>
        <v>0</v>
      </c>
      <c r="J255" s="189"/>
      <c r="K255" s="188">
        <f>K256+K260+K264</f>
        <v>0</v>
      </c>
      <c r="L255" s="172">
        <f>L256+L260+L264+L262</f>
        <v>19398.7</v>
      </c>
      <c r="M255" s="172">
        <f>M256+M260+M264+M262</f>
        <v>180</v>
      </c>
      <c r="N255" s="172">
        <f>N256+N260+N264+N262</f>
        <v>19578.7</v>
      </c>
      <c r="O255" s="178"/>
      <c r="P255" s="92"/>
      <c r="Q255" s="48"/>
    </row>
    <row r="256" spans="1:17" ht="31.5" x14ac:dyDescent="0.2">
      <c r="A256" s="42"/>
      <c r="B256" s="168" t="s">
        <v>39</v>
      </c>
      <c r="C256" s="169" t="s">
        <v>269</v>
      </c>
      <c r="D256" s="170" t="s">
        <v>26</v>
      </c>
      <c r="E256" s="171"/>
      <c r="F256" s="172">
        <f>F257+F258+F259</f>
        <v>11968.5</v>
      </c>
      <c r="G256" s="172">
        <f>SUM(G258)+G257</f>
        <v>0</v>
      </c>
      <c r="H256" s="172">
        <f>H257+H258+H259</f>
        <v>11968.5</v>
      </c>
      <c r="I256" s="188">
        <f>I257+I258+I259</f>
        <v>0</v>
      </c>
      <c r="J256" s="189"/>
      <c r="K256" s="188">
        <f>K257+K258+K259</f>
        <v>0</v>
      </c>
      <c r="L256" s="172">
        <f>L257+L258+L259</f>
        <v>11968.5</v>
      </c>
      <c r="M256" s="172">
        <f>SUM(G256)</f>
        <v>0</v>
      </c>
      <c r="N256" s="172">
        <f>N257+N258+N259</f>
        <v>11968.5</v>
      </c>
      <c r="O256" s="178"/>
      <c r="P256" s="92"/>
    </row>
    <row r="257" spans="1:16" ht="64.900000000000006" customHeight="1" x14ac:dyDescent="0.2">
      <c r="A257" s="42"/>
      <c r="B257" s="168" t="s">
        <v>31</v>
      </c>
      <c r="C257" s="169" t="s">
        <v>269</v>
      </c>
      <c r="D257" s="170" t="s">
        <v>32</v>
      </c>
      <c r="E257" s="171"/>
      <c r="F257" s="172">
        <v>10420.200000000001</v>
      </c>
      <c r="G257" s="172"/>
      <c r="H257" s="172">
        <f>SUM(F257)</f>
        <v>10420.200000000001</v>
      </c>
      <c r="I257" s="188">
        <v>0</v>
      </c>
      <c r="J257" s="189"/>
      <c r="K257" s="188">
        <v>0</v>
      </c>
      <c r="L257" s="172">
        <f t="shared" ref="L257:N258" si="57">SUM(F257)</f>
        <v>10420.200000000001</v>
      </c>
      <c r="M257" s="172">
        <f t="shared" si="57"/>
        <v>0</v>
      </c>
      <c r="N257" s="172">
        <f t="shared" si="57"/>
        <v>10420.200000000001</v>
      </c>
      <c r="O257" s="178"/>
      <c r="P257" s="92"/>
    </row>
    <row r="258" spans="1:16" ht="31.5" x14ac:dyDescent="0.2">
      <c r="A258" s="42"/>
      <c r="B258" s="168" t="s">
        <v>35</v>
      </c>
      <c r="C258" s="169" t="s">
        <v>269</v>
      </c>
      <c r="D258" s="170" t="s">
        <v>36</v>
      </c>
      <c r="E258" s="171"/>
      <c r="F258" s="172">
        <v>1525.3</v>
      </c>
      <c r="G258" s="172"/>
      <c r="H258" s="172">
        <v>1525.3</v>
      </c>
      <c r="I258" s="188">
        <v>0</v>
      </c>
      <c r="J258" s="189"/>
      <c r="K258" s="188">
        <v>0</v>
      </c>
      <c r="L258" s="172">
        <f t="shared" si="57"/>
        <v>1525.3</v>
      </c>
      <c r="M258" s="172">
        <f t="shared" si="57"/>
        <v>0</v>
      </c>
      <c r="N258" s="172">
        <f t="shared" si="57"/>
        <v>1525.3</v>
      </c>
      <c r="O258" s="178"/>
      <c r="P258" s="92"/>
    </row>
    <row r="259" spans="1:16" ht="18.75" x14ac:dyDescent="0.2">
      <c r="A259" s="42"/>
      <c r="B259" s="168" t="s">
        <v>41</v>
      </c>
      <c r="C259" s="169" t="s">
        <v>269</v>
      </c>
      <c r="D259" s="170" t="s">
        <v>42</v>
      </c>
      <c r="E259" s="171"/>
      <c r="F259" s="172">
        <v>23</v>
      </c>
      <c r="G259" s="172"/>
      <c r="H259" s="172">
        <v>23</v>
      </c>
      <c r="I259" s="188">
        <v>0</v>
      </c>
      <c r="J259" s="189"/>
      <c r="K259" s="188">
        <v>0</v>
      </c>
      <c r="L259" s="172">
        <v>23</v>
      </c>
      <c r="M259" s="172"/>
      <c r="N259" s="172">
        <v>23</v>
      </c>
      <c r="O259" s="178"/>
      <c r="P259" s="92"/>
    </row>
    <row r="260" spans="1:16" ht="48.6" customHeight="1" x14ac:dyDescent="0.2">
      <c r="A260" s="42"/>
      <c r="B260" s="168" t="s">
        <v>270</v>
      </c>
      <c r="C260" s="169" t="s">
        <v>271</v>
      </c>
      <c r="D260" s="170" t="s">
        <v>26</v>
      </c>
      <c r="E260" s="171"/>
      <c r="F260" s="172">
        <f>F261</f>
        <v>5230.2</v>
      </c>
      <c r="G260" s="172">
        <f>G261</f>
        <v>180</v>
      </c>
      <c r="H260" s="172">
        <f>H261</f>
        <v>5410.2</v>
      </c>
      <c r="I260" s="188">
        <f>I261</f>
        <v>0</v>
      </c>
      <c r="J260" s="189"/>
      <c r="K260" s="188">
        <f>K261</f>
        <v>0</v>
      </c>
      <c r="L260" s="172">
        <f>L261</f>
        <v>5230.2</v>
      </c>
      <c r="M260" s="172">
        <f>M261</f>
        <v>180</v>
      </c>
      <c r="N260" s="172">
        <f>N261</f>
        <v>5410.2</v>
      </c>
      <c r="O260" s="178"/>
      <c r="P260" s="92"/>
    </row>
    <row r="261" spans="1:16" ht="31.5" x14ac:dyDescent="0.2">
      <c r="A261" s="42"/>
      <c r="B261" s="168" t="s">
        <v>35</v>
      </c>
      <c r="C261" s="169" t="s">
        <v>271</v>
      </c>
      <c r="D261" s="170" t="s">
        <v>36</v>
      </c>
      <c r="E261" s="171"/>
      <c r="F261" s="172">
        <v>5230.2</v>
      </c>
      <c r="G261" s="172">
        <v>180</v>
      </c>
      <c r="H261" s="172">
        <f>SUM(F261)+G261</f>
        <v>5410.2</v>
      </c>
      <c r="I261" s="188">
        <v>0</v>
      </c>
      <c r="J261" s="189"/>
      <c r="K261" s="188">
        <v>0</v>
      </c>
      <c r="L261" s="172">
        <f t="shared" ref="L261:N263" si="58">SUM(F261)</f>
        <v>5230.2</v>
      </c>
      <c r="M261" s="172">
        <f t="shared" si="58"/>
        <v>180</v>
      </c>
      <c r="N261" s="172">
        <f t="shared" si="58"/>
        <v>5410.2</v>
      </c>
      <c r="O261" s="178"/>
      <c r="P261" s="92"/>
    </row>
    <row r="262" spans="1:16" ht="28.5" customHeight="1" x14ac:dyDescent="0.2">
      <c r="A262" s="42"/>
      <c r="B262" s="213" t="s">
        <v>456</v>
      </c>
      <c r="C262" s="169" t="s">
        <v>455</v>
      </c>
      <c r="D262" s="170"/>
      <c r="E262" s="171"/>
      <c r="F262" s="172">
        <v>1200</v>
      </c>
      <c r="G262" s="172"/>
      <c r="H262" s="172">
        <v>1200</v>
      </c>
      <c r="I262" s="188"/>
      <c r="J262" s="189"/>
      <c r="K262" s="188"/>
      <c r="L262" s="172">
        <f t="shared" si="58"/>
        <v>1200</v>
      </c>
      <c r="M262" s="172">
        <f t="shared" si="58"/>
        <v>0</v>
      </c>
      <c r="N262" s="172">
        <f t="shared" si="58"/>
        <v>1200</v>
      </c>
      <c r="O262" s="178"/>
      <c r="P262" s="92"/>
    </row>
    <row r="263" spans="1:16" ht="31.5" x14ac:dyDescent="0.2">
      <c r="A263" s="42"/>
      <c r="B263" s="168" t="s">
        <v>35</v>
      </c>
      <c r="C263" s="169" t="s">
        <v>455</v>
      </c>
      <c r="D263" s="170" t="s">
        <v>36</v>
      </c>
      <c r="E263" s="171"/>
      <c r="F263" s="172">
        <v>1200</v>
      </c>
      <c r="G263" s="172"/>
      <c r="H263" s="172">
        <v>1200</v>
      </c>
      <c r="I263" s="188"/>
      <c r="J263" s="189"/>
      <c r="K263" s="188"/>
      <c r="L263" s="172">
        <f t="shared" si="58"/>
        <v>1200</v>
      </c>
      <c r="M263" s="172">
        <f t="shared" si="58"/>
        <v>0</v>
      </c>
      <c r="N263" s="172">
        <f t="shared" si="58"/>
        <v>1200</v>
      </c>
      <c r="O263" s="178"/>
      <c r="P263" s="92"/>
    </row>
    <row r="264" spans="1:16" ht="47.25" x14ac:dyDescent="0.2">
      <c r="A264" s="42"/>
      <c r="B264" s="168" t="s">
        <v>272</v>
      </c>
      <c r="C264" s="169" t="s">
        <v>273</v>
      </c>
      <c r="D264" s="170" t="s">
        <v>26</v>
      </c>
      <c r="E264" s="171"/>
      <c r="F264" s="172">
        <f>F265</f>
        <v>1000</v>
      </c>
      <c r="G264" s="172">
        <f>G265</f>
        <v>0</v>
      </c>
      <c r="H264" s="172">
        <f>H265</f>
        <v>1000</v>
      </c>
      <c r="I264" s="188">
        <f>I265</f>
        <v>0</v>
      </c>
      <c r="J264" s="189"/>
      <c r="K264" s="188">
        <f>K265</f>
        <v>0</v>
      </c>
      <c r="L264" s="172">
        <f>L265</f>
        <v>1000</v>
      </c>
      <c r="M264" s="172">
        <f>M265</f>
        <v>0</v>
      </c>
      <c r="N264" s="172">
        <f>N265</f>
        <v>1000</v>
      </c>
      <c r="O264" s="178"/>
      <c r="P264" s="92"/>
    </row>
    <row r="265" spans="1:16" ht="31.5" x14ac:dyDescent="0.2">
      <c r="A265" s="42"/>
      <c r="B265" s="168" t="s">
        <v>35</v>
      </c>
      <c r="C265" s="169" t="s">
        <v>273</v>
      </c>
      <c r="D265" s="170" t="s">
        <v>36</v>
      </c>
      <c r="E265" s="171"/>
      <c r="F265" s="172">
        <v>1000</v>
      </c>
      <c r="G265" s="172"/>
      <c r="H265" s="172">
        <v>1000</v>
      </c>
      <c r="I265" s="188">
        <v>0</v>
      </c>
      <c r="J265" s="189"/>
      <c r="K265" s="188">
        <v>0</v>
      </c>
      <c r="L265" s="172">
        <v>1000</v>
      </c>
      <c r="M265" s="172"/>
      <c r="N265" s="172">
        <v>1000</v>
      </c>
      <c r="O265" s="178"/>
      <c r="P265" s="92"/>
    </row>
    <row r="266" spans="1:16" ht="31.5" x14ac:dyDescent="0.2">
      <c r="A266" s="42"/>
      <c r="B266" s="168" t="s">
        <v>274</v>
      </c>
      <c r="C266" s="169" t="s">
        <v>275</v>
      </c>
      <c r="D266" s="170" t="s">
        <v>26</v>
      </c>
      <c r="E266" s="171"/>
      <c r="F266" s="172">
        <f t="shared" ref="F266:N267" si="59">F267</f>
        <v>13584.1</v>
      </c>
      <c r="G266" s="172">
        <f t="shared" si="59"/>
        <v>0</v>
      </c>
      <c r="H266" s="172">
        <f t="shared" si="59"/>
        <v>13584.1</v>
      </c>
      <c r="I266" s="188">
        <f t="shared" si="59"/>
        <v>0</v>
      </c>
      <c r="J266" s="189"/>
      <c r="K266" s="188">
        <f t="shared" si="59"/>
        <v>0</v>
      </c>
      <c r="L266" s="172">
        <f t="shared" si="59"/>
        <v>13584.1</v>
      </c>
      <c r="M266" s="172">
        <f t="shared" si="59"/>
        <v>0</v>
      </c>
      <c r="N266" s="172">
        <f t="shared" si="59"/>
        <v>13584.1</v>
      </c>
      <c r="O266" s="178"/>
      <c r="P266" s="92"/>
    </row>
    <row r="267" spans="1:16" ht="78.75" x14ac:dyDescent="0.2">
      <c r="A267" s="42"/>
      <c r="B267" s="168" t="s">
        <v>276</v>
      </c>
      <c r="C267" s="169" t="s">
        <v>277</v>
      </c>
      <c r="D267" s="170" t="s">
        <v>26</v>
      </c>
      <c r="E267" s="171"/>
      <c r="F267" s="172">
        <f t="shared" si="59"/>
        <v>13584.1</v>
      </c>
      <c r="G267" s="172">
        <f t="shared" si="59"/>
        <v>0</v>
      </c>
      <c r="H267" s="172">
        <f t="shared" si="59"/>
        <v>13584.1</v>
      </c>
      <c r="I267" s="188">
        <f t="shared" si="59"/>
        <v>0</v>
      </c>
      <c r="J267" s="189"/>
      <c r="K267" s="188">
        <f t="shared" si="59"/>
        <v>0</v>
      </c>
      <c r="L267" s="172">
        <f t="shared" si="59"/>
        <v>13584.1</v>
      </c>
      <c r="M267" s="172">
        <f t="shared" si="59"/>
        <v>0</v>
      </c>
      <c r="N267" s="172">
        <f t="shared" si="59"/>
        <v>13584.1</v>
      </c>
      <c r="O267" s="178"/>
      <c r="P267" s="92"/>
    </row>
    <row r="268" spans="1:16" ht="18.75" x14ac:dyDescent="0.2">
      <c r="A268" s="42"/>
      <c r="B268" s="168" t="s">
        <v>278</v>
      </c>
      <c r="C268" s="169" t="s">
        <v>277</v>
      </c>
      <c r="D268" s="170" t="s">
        <v>279</v>
      </c>
      <c r="E268" s="171"/>
      <c r="F268" s="172">
        <f>13584.2-0.1</f>
        <v>13584.1</v>
      </c>
      <c r="G268" s="172"/>
      <c r="H268" s="172">
        <f>13584.2-0.1</f>
        <v>13584.1</v>
      </c>
      <c r="I268" s="188">
        <v>0</v>
      </c>
      <c r="J268" s="189"/>
      <c r="K268" s="188">
        <v>0</v>
      </c>
      <c r="L268" s="172">
        <f>13584.2-0.1</f>
        <v>13584.1</v>
      </c>
      <c r="M268" s="172"/>
      <c r="N268" s="172">
        <f>13584.2-0.1</f>
        <v>13584.1</v>
      </c>
      <c r="O268" s="178"/>
      <c r="P268" s="92"/>
    </row>
    <row r="269" spans="1:16" ht="47.25" x14ac:dyDescent="0.2">
      <c r="A269" s="42"/>
      <c r="B269" s="168" t="s">
        <v>280</v>
      </c>
      <c r="C269" s="169" t="s">
        <v>281</v>
      </c>
      <c r="D269" s="170" t="s">
        <v>26</v>
      </c>
      <c r="E269" s="171"/>
      <c r="F269" s="172">
        <f t="shared" ref="F269:N270" si="60">F270</f>
        <v>1516.6000000000001</v>
      </c>
      <c r="G269" s="172">
        <f t="shared" si="60"/>
        <v>0</v>
      </c>
      <c r="H269" s="172">
        <f t="shared" si="60"/>
        <v>1516.6000000000001</v>
      </c>
      <c r="I269" s="188">
        <f t="shared" si="60"/>
        <v>0</v>
      </c>
      <c r="J269" s="189"/>
      <c r="K269" s="188">
        <f t="shared" si="60"/>
        <v>0</v>
      </c>
      <c r="L269" s="172">
        <f t="shared" si="60"/>
        <v>1516.6000000000001</v>
      </c>
      <c r="M269" s="172">
        <f t="shared" si="60"/>
        <v>0</v>
      </c>
      <c r="N269" s="172">
        <f t="shared" si="60"/>
        <v>1516.6000000000001</v>
      </c>
      <c r="O269" s="178"/>
      <c r="P269" s="92"/>
    </row>
    <row r="270" spans="1:16" ht="67.900000000000006" customHeight="1" x14ac:dyDescent="0.2">
      <c r="A270" s="42"/>
      <c r="B270" s="168" t="s">
        <v>282</v>
      </c>
      <c r="C270" s="169" t="s">
        <v>283</v>
      </c>
      <c r="D270" s="170" t="s">
        <v>26</v>
      </c>
      <c r="E270" s="171"/>
      <c r="F270" s="172">
        <f t="shared" si="60"/>
        <v>1516.6000000000001</v>
      </c>
      <c r="G270" s="172">
        <f t="shared" si="60"/>
        <v>0</v>
      </c>
      <c r="H270" s="172">
        <f t="shared" si="60"/>
        <v>1516.6000000000001</v>
      </c>
      <c r="I270" s="188">
        <f t="shared" si="60"/>
        <v>0</v>
      </c>
      <c r="J270" s="189"/>
      <c r="K270" s="188">
        <f t="shared" si="60"/>
        <v>0</v>
      </c>
      <c r="L270" s="172">
        <f t="shared" si="60"/>
        <v>1516.6000000000001</v>
      </c>
      <c r="M270" s="172">
        <f t="shared" si="60"/>
        <v>0</v>
      </c>
      <c r="N270" s="172">
        <f t="shared" si="60"/>
        <v>1516.6000000000001</v>
      </c>
      <c r="O270" s="178"/>
      <c r="P270" s="92"/>
    </row>
    <row r="271" spans="1:16" ht="18.75" x14ac:dyDescent="0.2">
      <c r="A271" s="42"/>
      <c r="B271" s="168" t="s">
        <v>278</v>
      </c>
      <c r="C271" s="169" t="s">
        <v>283</v>
      </c>
      <c r="D271" s="170" t="s">
        <v>279</v>
      </c>
      <c r="E271" s="171"/>
      <c r="F271" s="172">
        <f>1516.7-0.1</f>
        <v>1516.6000000000001</v>
      </c>
      <c r="G271" s="172"/>
      <c r="H271" s="172">
        <f>1516.7-0.1</f>
        <v>1516.6000000000001</v>
      </c>
      <c r="I271" s="188">
        <v>0</v>
      </c>
      <c r="J271" s="189"/>
      <c r="K271" s="188">
        <v>0</v>
      </c>
      <c r="L271" s="172">
        <f>1516.7-0.1</f>
        <v>1516.6000000000001</v>
      </c>
      <c r="M271" s="172"/>
      <c r="N271" s="172">
        <f>1516.7-0.1</f>
        <v>1516.6000000000001</v>
      </c>
      <c r="O271" s="178"/>
      <c r="P271" s="92"/>
    </row>
    <row r="272" spans="1:16" ht="0.75" customHeight="1" x14ac:dyDescent="0.2">
      <c r="A272" s="42"/>
      <c r="B272" s="168" t="s">
        <v>448</v>
      </c>
      <c r="C272" s="169" t="s">
        <v>422</v>
      </c>
      <c r="D272" s="170"/>
      <c r="E272" s="171"/>
      <c r="F272" s="172"/>
      <c r="G272" s="172"/>
      <c r="H272" s="172">
        <f>SUM(G272)</f>
        <v>0</v>
      </c>
      <c r="I272" s="188"/>
      <c r="J272" s="189"/>
      <c r="K272" s="188"/>
      <c r="L272" s="172"/>
      <c r="M272" s="172">
        <f t="shared" ref="M272:N275" si="61">SUM(G272)</f>
        <v>0</v>
      </c>
      <c r="N272" s="172">
        <f t="shared" si="61"/>
        <v>0</v>
      </c>
      <c r="O272" s="178"/>
      <c r="P272" s="92"/>
    </row>
    <row r="273" spans="1:16" ht="18.75" hidden="1" x14ac:dyDescent="0.2">
      <c r="A273" s="42"/>
      <c r="B273" s="168" t="s">
        <v>432</v>
      </c>
      <c r="C273" s="169" t="s">
        <v>433</v>
      </c>
      <c r="D273" s="170"/>
      <c r="E273" s="171"/>
      <c r="F273" s="172"/>
      <c r="G273" s="172"/>
      <c r="H273" s="172">
        <f>SUM(G273)</f>
        <v>0</v>
      </c>
      <c r="I273" s="188"/>
      <c r="J273" s="189"/>
      <c r="K273" s="188"/>
      <c r="L273" s="172"/>
      <c r="M273" s="172">
        <f t="shared" si="61"/>
        <v>0</v>
      </c>
      <c r="N273" s="172">
        <f t="shared" si="61"/>
        <v>0</v>
      </c>
      <c r="O273" s="178"/>
      <c r="P273" s="92"/>
    </row>
    <row r="274" spans="1:16" ht="31.5" hidden="1" x14ac:dyDescent="0.2">
      <c r="A274" s="42"/>
      <c r="B274" s="168" t="s">
        <v>434</v>
      </c>
      <c r="C274" s="169" t="s">
        <v>435</v>
      </c>
      <c r="D274" s="170"/>
      <c r="E274" s="171"/>
      <c r="F274" s="172"/>
      <c r="G274" s="172"/>
      <c r="H274" s="172">
        <f>SUM(G274)</f>
        <v>0</v>
      </c>
      <c r="I274" s="188"/>
      <c r="J274" s="189"/>
      <c r="K274" s="188"/>
      <c r="L274" s="172"/>
      <c r="M274" s="172">
        <f t="shared" si="61"/>
        <v>0</v>
      </c>
      <c r="N274" s="172">
        <f t="shared" si="61"/>
        <v>0</v>
      </c>
      <c r="O274" s="178"/>
      <c r="P274" s="92"/>
    </row>
    <row r="275" spans="1:16" ht="31.5" hidden="1" x14ac:dyDescent="0.2">
      <c r="A275" s="42"/>
      <c r="B275" s="168" t="s">
        <v>35</v>
      </c>
      <c r="C275" s="169" t="s">
        <v>435</v>
      </c>
      <c r="D275" s="170" t="s">
        <v>36</v>
      </c>
      <c r="E275" s="171"/>
      <c r="F275" s="172"/>
      <c r="G275" s="172"/>
      <c r="H275" s="172">
        <f>SUM(G275)</f>
        <v>0</v>
      </c>
      <c r="I275" s="188"/>
      <c r="J275" s="189"/>
      <c r="K275" s="188"/>
      <c r="L275" s="172"/>
      <c r="M275" s="172">
        <f t="shared" si="61"/>
        <v>0</v>
      </c>
      <c r="N275" s="172">
        <f t="shared" si="61"/>
        <v>0</v>
      </c>
      <c r="O275" s="178"/>
      <c r="P275" s="92"/>
    </row>
    <row r="276" spans="1:16" ht="18.75" x14ac:dyDescent="0.2">
      <c r="A276" s="49"/>
      <c r="B276" s="190" t="s">
        <v>284</v>
      </c>
      <c r="C276" s="191" t="s">
        <v>285</v>
      </c>
      <c r="D276" s="192" t="s">
        <v>26</v>
      </c>
      <c r="E276" s="193"/>
      <c r="F276" s="194">
        <f t="shared" ref="F276:N278" si="62">F277</f>
        <v>394.4</v>
      </c>
      <c r="G276" s="194">
        <f t="shared" si="62"/>
        <v>0</v>
      </c>
      <c r="H276" s="194">
        <f t="shared" si="62"/>
        <v>394.4</v>
      </c>
      <c r="I276" s="195">
        <f t="shared" si="62"/>
        <v>0</v>
      </c>
      <c r="J276" s="196"/>
      <c r="K276" s="195">
        <f t="shared" si="62"/>
        <v>0</v>
      </c>
      <c r="L276" s="194">
        <f t="shared" si="62"/>
        <v>394.4</v>
      </c>
      <c r="M276" s="194">
        <f t="shared" si="62"/>
        <v>0</v>
      </c>
      <c r="N276" s="194">
        <f t="shared" si="62"/>
        <v>394.4</v>
      </c>
      <c r="O276" s="178"/>
      <c r="P276" s="92"/>
    </row>
    <row r="277" spans="1:16" ht="31.5" x14ac:dyDescent="0.2">
      <c r="A277" s="42"/>
      <c r="B277" s="168" t="s">
        <v>286</v>
      </c>
      <c r="C277" s="169" t="s">
        <v>287</v>
      </c>
      <c r="D277" s="170" t="s">
        <v>26</v>
      </c>
      <c r="E277" s="171"/>
      <c r="F277" s="172">
        <f t="shared" si="62"/>
        <v>394.4</v>
      </c>
      <c r="G277" s="172">
        <f t="shared" si="62"/>
        <v>0</v>
      </c>
      <c r="H277" s="172">
        <f t="shared" si="62"/>
        <v>394.4</v>
      </c>
      <c r="I277" s="188">
        <f t="shared" si="62"/>
        <v>0</v>
      </c>
      <c r="J277" s="189"/>
      <c r="K277" s="188">
        <f t="shared" si="62"/>
        <v>0</v>
      </c>
      <c r="L277" s="172">
        <f t="shared" si="62"/>
        <v>394.4</v>
      </c>
      <c r="M277" s="172">
        <f t="shared" si="62"/>
        <v>0</v>
      </c>
      <c r="N277" s="172">
        <f t="shared" si="62"/>
        <v>394.4</v>
      </c>
      <c r="O277" s="178"/>
      <c r="P277" s="92"/>
    </row>
    <row r="278" spans="1:16" ht="18.75" x14ac:dyDescent="0.2">
      <c r="A278" s="42"/>
      <c r="B278" s="168" t="s">
        <v>288</v>
      </c>
      <c r="C278" s="169" t="s">
        <v>289</v>
      </c>
      <c r="D278" s="170" t="s">
        <v>26</v>
      </c>
      <c r="E278" s="171"/>
      <c r="F278" s="172">
        <f t="shared" si="62"/>
        <v>394.4</v>
      </c>
      <c r="G278" s="172">
        <f t="shared" si="62"/>
        <v>0</v>
      </c>
      <c r="H278" s="172">
        <f t="shared" si="62"/>
        <v>394.4</v>
      </c>
      <c r="I278" s="188">
        <f t="shared" si="62"/>
        <v>0</v>
      </c>
      <c r="J278" s="189"/>
      <c r="K278" s="188">
        <f t="shared" si="62"/>
        <v>0</v>
      </c>
      <c r="L278" s="172">
        <f t="shared" si="62"/>
        <v>394.4</v>
      </c>
      <c r="M278" s="172">
        <f t="shared" si="62"/>
        <v>0</v>
      </c>
      <c r="N278" s="172">
        <f t="shared" si="62"/>
        <v>394.4</v>
      </c>
      <c r="O278" s="178"/>
      <c r="P278" s="92"/>
    </row>
    <row r="279" spans="1:16" ht="31.5" x14ac:dyDescent="0.2">
      <c r="A279" s="42"/>
      <c r="B279" s="168" t="s">
        <v>35</v>
      </c>
      <c r="C279" s="169" t="s">
        <v>289</v>
      </c>
      <c r="D279" s="170" t="s">
        <v>36</v>
      </c>
      <c r="E279" s="171"/>
      <c r="F279" s="172">
        <v>394.4</v>
      </c>
      <c r="G279" s="172"/>
      <c r="H279" s="172">
        <v>394.4</v>
      </c>
      <c r="I279" s="188">
        <v>0</v>
      </c>
      <c r="J279" s="189"/>
      <c r="K279" s="188">
        <v>0</v>
      </c>
      <c r="L279" s="172">
        <f>SUM(F279)</f>
        <v>394.4</v>
      </c>
      <c r="M279" s="172">
        <f>SUM(G279)</f>
        <v>0</v>
      </c>
      <c r="N279" s="172">
        <f>SUM(H279)</f>
        <v>394.4</v>
      </c>
      <c r="O279" s="178"/>
      <c r="P279" s="92"/>
    </row>
    <row r="280" spans="1:16" ht="24.6" customHeight="1" x14ac:dyDescent="0.2">
      <c r="A280" s="49"/>
      <c r="B280" s="190" t="s">
        <v>290</v>
      </c>
      <c r="C280" s="191" t="s">
        <v>291</v>
      </c>
      <c r="D280" s="192" t="s">
        <v>26</v>
      </c>
      <c r="E280" s="193"/>
      <c r="F280" s="194">
        <f>F281</f>
        <v>6700.3</v>
      </c>
      <c r="G280" s="194">
        <f>G281</f>
        <v>452</v>
      </c>
      <c r="H280" s="194">
        <f>H281</f>
        <v>7152.3</v>
      </c>
      <c r="I280" s="195">
        <f>I281</f>
        <v>0</v>
      </c>
      <c r="J280" s="196"/>
      <c r="K280" s="195">
        <f>K281</f>
        <v>0</v>
      </c>
      <c r="L280" s="194">
        <f>L281</f>
        <v>6700.3</v>
      </c>
      <c r="M280" s="194">
        <f>M281</f>
        <v>452</v>
      </c>
      <c r="N280" s="194">
        <f>N281</f>
        <v>7152.3</v>
      </c>
      <c r="O280" s="178"/>
      <c r="P280" s="92"/>
    </row>
    <row r="281" spans="1:16" ht="36.6" customHeight="1" x14ac:dyDescent="0.2">
      <c r="A281" s="42"/>
      <c r="B281" s="168" t="s">
        <v>292</v>
      </c>
      <c r="C281" s="169" t="s">
        <v>293</v>
      </c>
      <c r="D281" s="170" t="s">
        <v>26</v>
      </c>
      <c r="E281" s="171"/>
      <c r="F281" s="172">
        <f>F282+F284</f>
        <v>6700.3</v>
      </c>
      <c r="G281" s="172">
        <f>G282+G284</f>
        <v>452</v>
      </c>
      <c r="H281" s="172">
        <f>H282+H284</f>
        <v>7152.3</v>
      </c>
      <c r="I281" s="188">
        <f>I282+I284</f>
        <v>0</v>
      </c>
      <c r="J281" s="189"/>
      <c r="K281" s="188">
        <f>K282+K284</f>
        <v>0</v>
      </c>
      <c r="L281" s="172">
        <f>L282+L284</f>
        <v>6700.3</v>
      </c>
      <c r="M281" s="172">
        <f>M282+M284</f>
        <v>452</v>
      </c>
      <c r="N281" s="172">
        <f>N282+N284</f>
        <v>7152.3</v>
      </c>
      <c r="O281" s="178"/>
      <c r="P281" s="92"/>
    </row>
    <row r="282" spans="1:16" ht="22.15" customHeight="1" x14ac:dyDescent="0.2">
      <c r="A282" s="42"/>
      <c r="B282" s="168" t="s">
        <v>294</v>
      </c>
      <c r="C282" s="169" t="s">
        <v>295</v>
      </c>
      <c r="D282" s="170" t="s">
        <v>26</v>
      </c>
      <c r="E282" s="171"/>
      <c r="F282" s="172">
        <f>F283</f>
        <v>1835.5</v>
      </c>
      <c r="G282" s="172">
        <f>G283</f>
        <v>252</v>
      </c>
      <c r="H282" s="172">
        <f>H283</f>
        <v>2087.5</v>
      </c>
      <c r="I282" s="188">
        <f>I283</f>
        <v>0</v>
      </c>
      <c r="J282" s="189"/>
      <c r="K282" s="188">
        <f>K283</f>
        <v>0</v>
      </c>
      <c r="L282" s="172">
        <f>L283</f>
        <v>1835.5</v>
      </c>
      <c r="M282" s="172">
        <f>M283</f>
        <v>252</v>
      </c>
      <c r="N282" s="172">
        <f>N283</f>
        <v>2087.5</v>
      </c>
      <c r="O282" s="178"/>
      <c r="P282" s="92"/>
    </row>
    <row r="283" spans="1:16" ht="31.5" x14ac:dyDescent="0.2">
      <c r="A283" s="42"/>
      <c r="B283" s="168" t="s">
        <v>35</v>
      </c>
      <c r="C283" s="169" t="s">
        <v>295</v>
      </c>
      <c r="D283" s="170" t="s">
        <v>36</v>
      </c>
      <c r="E283" s="171"/>
      <c r="F283" s="172">
        <v>1835.5</v>
      </c>
      <c r="G283" s="172">
        <v>252</v>
      </c>
      <c r="H283" s="172">
        <f>SUM(F283:G283)</f>
        <v>2087.5</v>
      </c>
      <c r="I283" s="188">
        <v>0</v>
      </c>
      <c r="J283" s="189"/>
      <c r="K283" s="188">
        <v>0</v>
      </c>
      <c r="L283" s="172">
        <f>SUM(F283)</f>
        <v>1835.5</v>
      </c>
      <c r="M283" s="172">
        <f>SUM(G283)</f>
        <v>252</v>
      </c>
      <c r="N283" s="172">
        <f>SUM(H283)</f>
        <v>2087.5</v>
      </c>
      <c r="O283" s="178"/>
      <c r="P283" s="92"/>
    </row>
    <row r="284" spans="1:16" ht="52.15" customHeight="1" x14ac:dyDescent="0.2">
      <c r="A284" s="42"/>
      <c r="B284" s="168" t="s">
        <v>296</v>
      </c>
      <c r="C284" s="169" t="s">
        <v>297</v>
      </c>
      <c r="D284" s="170" t="s">
        <v>26</v>
      </c>
      <c r="E284" s="171"/>
      <c r="F284" s="172">
        <f>F285</f>
        <v>4864.8</v>
      </c>
      <c r="G284" s="172">
        <f>G285</f>
        <v>200</v>
      </c>
      <c r="H284" s="172">
        <f>H285</f>
        <v>5064.8</v>
      </c>
      <c r="I284" s="188">
        <f>I285</f>
        <v>0</v>
      </c>
      <c r="J284" s="189"/>
      <c r="K284" s="188">
        <f>K285</f>
        <v>0</v>
      </c>
      <c r="L284" s="172">
        <f>L285</f>
        <v>4864.8</v>
      </c>
      <c r="M284" s="172">
        <f>M285</f>
        <v>200</v>
      </c>
      <c r="N284" s="172">
        <f>N285</f>
        <v>5064.8</v>
      </c>
      <c r="O284" s="178"/>
      <c r="P284" s="92"/>
    </row>
    <row r="285" spans="1:16" ht="18.75" x14ac:dyDescent="0.2">
      <c r="A285" s="42"/>
      <c r="B285" s="168" t="s">
        <v>278</v>
      </c>
      <c r="C285" s="169" t="s">
        <v>297</v>
      </c>
      <c r="D285" s="170" t="s">
        <v>279</v>
      </c>
      <c r="E285" s="171"/>
      <c r="F285" s="172">
        <v>4864.8</v>
      </c>
      <c r="G285" s="172">
        <v>200</v>
      </c>
      <c r="H285" s="172">
        <f>4864.8+G285</f>
        <v>5064.8</v>
      </c>
      <c r="I285" s="188">
        <v>0</v>
      </c>
      <c r="J285" s="189"/>
      <c r="K285" s="188">
        <v>0</v>
      </c>
      <c r="L285" s="172">
        <v>4864.8</v>
      </c>
      <c r="M285" s="172">
        <f>SUM(G285)</f>
        <v>200</v>
      </c>
      <c r="N285" s="172">
        <f>4864.8+M285</f>
        <v>5064.8</v>
      </c>
      <c r="O285" s="178"/>
      <c r="P285" s="92"/>
    </row>
    <row r="286" spans="1:16" ht="18.75" x14ac:dyDescent="0.2">
      <c r="A286" s="49"/>
      <c r="B286" s="190" t="s">
        <v>298</v>
      </c>
      <c r="C286" s="191" t="s">
        <v>299</v>
      </c>
      <c r="D286" s="192" t="s">
        <v>26</v>
      </c>
      <c r="E286" s="193"/>
      <c r="F286" s="194">
        <f t="shared" ref="F286:N288" si="63">F287</f>
        <v>20</v>
      </c>
      <c r="G286" s="194">
        <f t="shared" si="63"/>
        <v>0</v>
      </c>
      <c r="H286" s="194">
        <f t="shared" si="63"/>
        <v>20</v>
      </c>
      <c r="I286" s="195">
        <f t="shared" si="63"/>
        <v>0</v>
      </c>
      <c r="J286" s="194">
        <f>J287</f>
        <v>0</v>
      </c>
      <c r="K286" s="195">
        <f t="shared" si="63"/>
        <v>0</v>
      </c>
      <c r="L286" s="194">
        <f t="shared" si="63"/>
        <v>20</v>
      </c>
      <c r="M286" s="194">
        <f t="shared" si="63"/>
        <v>0</v>
      </c>
      <c r="N286" s="194">
        <f t="shared" si="63"/>
        <v>20</v>
      </c>
      <c r="O286" s="178"/>
      <c r="P286" s="92"/>
    </row>
    <row r="287" spans="1:16" ht="31.5" x14ac:dyDescent="0.2">
      <c r="A287" s="42"/>
      <c r="B287" s="168" t="s">
        <v>300</v>
      </c>
      <c r="C287" s="169" t="s">
        <v>301</v>
      </c>
      <c r="D287" s="170" t="s">
        <v>26</v>
      </c>
      <c r="E287" s="171"/>
      <c r="F287" s="172">
        <f t="shared" si="63"/>
        <v>20</v>
      </c>
      <c r="G287" s="172">
        <f t="shared" si="63"/>
        <v>0</v>
      </c>
      <c r="H287" s="172">
        <f t="shared" si="63"/>
        <v>20</v>
      </c>
      <c r="I287" s="188">
        <f t="shared" si="63"/>
        <v>0</v>
      </c>
      <c r="J287" s="189"/>
      <c r="K287" s="188">
        <f t="shared" si="63"/>
        <v>0</v>
      </c>
      <c r="L287" s="172">
        <f t="shared" si="63"/>
        <v>20</v>
      </c>
      <c r="M287" s="172">
        <f t="shared" si="63"/>
        <v>0</v>
      </c>
      <c r="N287" s="172">
        <f t="shared" si="63"/>
        <v>20</v>
      </c>
      <c r="O287" s="178"/>
      <c r="P287" s="92"/>
    </row>
    <row r="288" spans="1:16" ht="18.75" x14ac:dyDescent="0.2">
      <c r="A288" s="42"/>
      <c r="B288" s="168" t="s">
        <v>302</v>
      </c>
      <c r="C288" s="169" t="s">
        <v>303</v>
      </c>
      <c r="D288" s="170" t="s">
        <v>26</v>
      </c>
      <c r="E288" s="171"/>
      <c r="F288" s="172">
        <f t="shared" si="63"/>
        <v>20</v>
      </c>
      <c r="G288" s="172">
        <f t="shared" si="63"/>
        <v>0</v>
      </c>
      <c r="H288" s="172">
        <f t="shared" si="63"/>
        <v>20</v>
      </c>
      <c r="I288" s="188">
        <f t="shared" si="63"/>
        <v>0</v>
      </c>
      <c r="J288" s="189"/>
      <c r="K288" s="188">
        <f t="shared" si="63"/>
        <v>0</v>
      </c>
      <c r="L288" s="172">
        <f t="shared" si="63"/>
        <v>20</v>
      </c>
      <c r="M288" s="172">
        <f t="shared" si="63"/>
        <v>0</v>
      </c>
      <c r="N288" s="172">
        <f t="shared" si="63"/>
        <v>20</v>
      </c>
      <c r="O288" s="178"/>
      <c r="P288" s="92"/>
    </row>
    <row r="289" spans="1:16" ht="31.5" x14ac:dyDescent="0.2">
      <c r="A289" s="42"/>
      <c r="B289" s="168" t="s">
        <v>35</v>
      </c>
      <c r="C289" s="169" t="s">
        <v>303</v>
      </c>
      <c r="D289" s="170" t="s">
        <v>36</v>
      </c>
      <c r="E289" s="171"/>
      <c r="F289" s="172">
        <v>20</v>
      </c>
      <c r="G289" s="172"/>
      <c r="H289" s="172">
        <v>20</v>
      </c>
      <c r="I289" s="188">
        <v>0</v>
      </c>
      <c r="J289" s="189"/>
      <c r="K289" s="188">
        <v>0</v>
      </c>
      <c r="L289" s="172">
        <v>20</v>
      </c>
      <c r="M289" s="172"/>
      <c r="N289" s="172">
        <v>20</v>
      </c>
      <c r="O289" s="178"/>
      <c r="P289" s="92"/>
    </row>
    <row r="290" spans="1:16" ht="18.75" x14ac:dyDescent="0.2">
      <c r="A290" s="49"/>
      <c r="B290" s="190" t="s">
        <v>140</v>
      </c>
      <c r="C290" s="191" t="s">
        <v>304</v>
      </c>
      <c r="D290" s="192" t="s">
        <v>26</v>
      </c>
      <c r="E290" s="193"/>
      <c r="F290" s="194">
        <f t="shared" ref="F290:N290" si="64">F291+F294</f>
        <v>3461.5</v>
      </c>
      <c r="G290" s="194">
        <f t="shared" si="64"/>
        <v>0</v>
      </c>
      <c r="H290" s="194">
        <f t="shared" si="64"/>
        <v>3461.5</v>
      </c>
      <c r="I290" s="195">
        <f t="shared" si="64"/>
        <v>0</v>
      </c>
      <c r="J290" s="194">
        <f t="shared" si="64"/>
        <v>0</v>
      </c>
      <c r="K290" s="195">
        <f t="shared" si="64"/>
        <v>0</v>
      </c>
      <c r="L290" s="194">
        <f t="shared" si="64"/>
        <v>3461.5</v>
      </c>
      <c r="M290" s="194">
        <f t="shared" si="64"/>
        <v>0</v>
      </c>
      <c r="N290" s="194">
        <f t="shared" si="64"/>
        <v>3461.5</v>
      </c>
      <c r="O290" s="178"/>
      <c r="P290" s="92"/>
    </row>
    <row r="291" spans="1:16" ht="30.6" customHeight="1" x14ac:dyDescent="0.2">
      <c r="A291" s="42"/>
      <c r="B291" s="168" t="s">
        <v>305</v>
      </c>
      <c r="C291" s="169" t="s">
        <v>306</v>
      </c>
      <c r="D291" s="170" t="s">
        <v>26</v>
      </c>
      <c r="E291" s="171"/>
      <c r="F291" s="172">
        <f t="shared" ref="F291:N292" si="65">F292</f>
        <v>3366.5</v>
      </c>
      <c r="G291" s="172">
        <f t="shared" si="65"/>
        <v>0</v>
      </c>
      <c r="H291" s="172">
        <f t="shared" si="65"/>
        <v>3366.5</v>
      </c>
      <c r="I291" s="188">
        <f t="shared" si="65"/>
        <v>0</v>
      </c>
      <c r="J291" s="189"/>
      <c r="K291" s="188">
        <f t="shared" si="65"/>
        <v>0</v>
      </c>
      <c r="L291" s="172">
        <f t="shared" si="65"/>
        <v>3366.5</v>
      </c>
      <c r="M291" s="172">
        <f t="shared" si="65"/>
        <v>0</v>
      </c>
      <c r="N291" s="172">
        <f t="shared" si="65"/>
        <v>3366.5</v>
      </c>
      <c r="O291" s="178"/>
      <c r="P291" s="92"/>
    </row>
    <row r="292" spans="1:16" ht="63" x14ac:dyDescent="0.2">
      <c r="A292" s="42"/>
      <c r="B292" s="168" t="s">
        <v>307</v>
      </c>
      <c r="C292" s="169" t="s">
        <v>308</v>
      </c>
      <c r="D292" s="170" t="s">
        <v>26</v>
      </c>
      <c r="E292" s="171"/>
      <c r="F292" s="172">
        <f t="shared" si="65"/>
        <v>3366.5</v>
      </c>
      <c r="G292" s="172">
        <f t="shared" si="65"/>
        <v>0</v>
      </c>
      <c r="H292" s="172">
        <f t="shared" si="65"/>
        <v>3366.5</v>
      </c>
      <c r="I292" s="188">
        <f t="shared" si="65"/>
        <v>0</v>
      </c>
      <c r="J292" s="189"/>
      <c r="K292" s="188">
        <f t="shared" si="65"/>
        <v>0</v>
      </c>
      <c r="L292" s="172">
        <f t="shared" si="65"/>
        <v>3366.5</v>
      </c>
      <c r="M292" s="172">
        <f t="shared" si="65"/>
        <v>0</v>
      </c>
      <c r="N292" s="172">
        <f t="shared" si="65"/>
        <v>3366.5</v>
      </c>
      <c r="O292" s="178"/>
      <c r="P292" s="92"/>
    </row>
    <row r="293" spans="1:16" ht="18.75" x14ac:dyDescent="0.2">
      <c r="A293" s="42"/>
      <c r="B293" s="168" t="s">
        <v>278</v>
      </c>
      <c r="C293" s="169" t="s">
        <v>308</v>
      </c>
      <c r="D293" s="170" t="s">
        <v>279</v>
      </c>
      <c r="E293" s="171"/>
      <c r="F293" s="172">
        <v>3366.5</v>
      </c>
      <c r="G293" s="172"/>
      <c r="H293" s="172">
        <v>3366.5</v>
      </c>
      <c r="I293" s="188">
        <v>0</v>
      </c>
      <c r="J293" s="189"/>
      <c r="K293" s="188">
        <v>0</v>
      </c>
      <c r="L293" s="172">
        <v>3366.5</v>
      </c>
      <c r="M293" s="172"/>
      <c r="N293" s="172">
        <v>3366.5</v>
      </c>
      <c r="O293" s="178"/>
      <c r="P293" s="92"/>
    </row>
    <row r="294" spans="1:16" ht="47.25" x14ac:dyDescent="0.2">
      <c r="A294" s="42"/>
      <c r="B294" s="168" t="s">
        <v>309</v>
      </c>
      <c r="C294" s="169" t="s">
        <v>310</v>
      </c>
      <c r="D294" s="170" t="s">
        <v>26</v>
      </c>
      <c r="E294" s="171"/>
      <c r="F294" s="172">
        <f t="shared" ref="F294:N295" si="66">F295</f>
        <v>95</v>
      </c>
      <c r="G294" s="172">
        <f t="shared" si="66"/>
        <v>0</v>
      </c>
      <c r="H294" s="172">
        <f t="shared" si="66"/>
        <v>95</v>
      </c>
      <c r="I294" s="188">
        <f t="shared" si="66"/>
        <v>0</v>
      </c>
      <c r="J294" s="189"/>
      <c r="K294" s="188">
        <f t="shared" si="66"/>
        <v>0</v>
      </c>
      <c r="L294" s="172">
        <f t="shared" si="66"/>
        <v>95</v>
      </c>
      <c r="M294" s="172">
        <f t="shared" si="66"/>
        <v>0</v>
      </c>
      <c r="N294" s="172">
        <f t="shared" si="66"/>
        <v>95</v>
      </c>
      <c r="O294" s="178"/>
      <c r="P294" s="92"/>
    </row>
    <row r="295" spans="1:16" ht="18.75" x14ac:dyDescent="0.2">
      <c r="A295" s="42"/>
      <c r="B295" s="168" t="s">
        <v>311</v>
      </c>
      <c r="C295" s="169" t="s">
        <v>312</v>
      </c>
      <c r="D295" s="170" t="s">
        <v>26</v>
      </c>
      <c r="E295" s="171"/>
      <c r="F295" s="172">
        <f t="shared" si="66"/>
        <v>95</v>
      </c>
      <c r="G295" s="172">
        <f t="shared" si="66"/>
        <v>0</v>
      </c>
      <c r="H295" s="172">
        <f t="shared" si="66"/>
        <v>95</v>
      </c>
      <c r="I295" s="188">
        <f t="shared" si="66"/>
        <v>0</v>
      </c>
      <c r="J295" s="189"/>
      <c r="K295" s="188">
        <f t="shared" si="66"/>
        <v>0</v>
      </c>
      <c r="L295" s="172">
        <f t="shared" si="66"/>
        <v>95</v>
      </c>
      <c r="M295" s="172">
        <f t="shared" si="66"/>
        <v>0</v>
      </c>
      <c r="N295" s="172">
        <f t="shared" si="66"/>
        <v>95</v>
      </c>
      <c r="O295" s="178"/>
      <c r="P295" s="92"/>
    </row>
    <row r="296" spans="1:16" ht="30" customHeight="1" x14ac:dyDescent="0.2">
      <c r="A296" s="42"/>
      <c r="B296" s="168" t="s">
        <v>35</v>
      </c>
      <c r="C296" s="169" t="s">
        <v>312</v>
      </c>
      <c r="D296" s="170" t="s">
        <v>36</v>
      </c>
      <c r="E296" s="171"/>
      <c r="F296" s="172">
        <v>95</v>
      </c>
      <c r="G296" s="172"/>
      <c r="H296" s="172">
        <v>95</v>
      </c>
      <c r="I296" s="188">
        <v>0</v>
      </c>
      <c r="J296" s="189"/>
      <c r="K296" s="188">
        <v>0</v>
      </c>
      <c r="L296" s="172">
        <v>95</v>
      </c>
      <c r="M296" s="172"/>
      <c r="N296" s="172">
        <v>95</v>
      </c>
      <c r="O296" s="178"/>
      <c r="P296" s="92"/>
    </row>
    <row r="297" spans="1:16" ht="31.5" hidden="1" x14ac:dyDescent="0.2">
      <c r="A297" s="42"/>
      <c r="B297" s="168" t="s">
        <v>448</v>
      </c>
      <c r="C297" s="169" t="s">
        <v>422</v>
      </c>
      <c r="D297" s="170"/>
      <c r="E297" s="171"/>
      <c r="F297" s="172"/>
      <c r="G297" s="172"/>
      <c r="H297" s="172">
        <f>SUM(G297)</f>
        <v>0</v>
      </c>
      <c r="I297" s="188"/>
      <c r="J297" s="189"/>
      <c r="K297" s="188"/>
      <c r="L297" s="172"/>
      <c r="M297" s="172">
        <f>SUM(G297)</f>
        <v>0</v>
      </c>
      <c r="N297" s="172">
        <f>SUM(H297)</f>
        <v>0</v>
      </c>
      <c r="O297" s="178"/>
      <c r="P297" s="92"/>
    </row>
    <row r="298" spans="1:16" ht="18.75" hidden="1" x14ac:dyDescent="0.2">
      <c r="A298" s="42"/>
      <c r="B298" s="168" t="s">
        <v>432</v>
      </c>
      <c r="C298" s="169" t="s">
        <v>433</v>
      </c>
      <c r="D298" s="170"/>
      <c r="E298" s="171"/>
      <c r="F298" s="172"/>
      <c r="G298" s="172"/>
      <c r="H298" s="172">
        <f>SUM(G298)</f>
        <v>0</v>
      </c>
      <c r="I298" s="188"/>
      <c r="J298" s="189"/>
      <c r="K298" s="188"/>
      <c r="L298" s="172"/>
      <c r="M298" s="172">
        <f>SUM(G298)</f>
        <v>0</v>
      </c>
      <c r="N298" s="172" t="s">
        <v>447</v>
      </c>
      <c r="O298" s="178"/>
      <c r="P298" s="92"/>
    </row>
    <row r="299" spans="1:16" ht="31.5" hidden="1" x14ac:dyDescent="0.2">
      <c r="A299" s="42"/>
      <c r="B299" s="168" t="s">
        <v>434</v>
      </c>
      <c r="C299" s="169" t="s">
        <v>435</v>
      </c>
      <c r="D299" s="170"/>
      <c r="E299" s="171"/>
      <c r="F299" s="172"/>
      <c r="G299" s="172"/>
      <c r="H299" s="172">
        <f>SUM(G299)</f>
        <v>0</v>
      </c>
      <c r="I299" s="188"/>
      <c r="J299" s="189"/>
      <c r="K299" s="188"/>
      <c r="L299" s="172"/>
      <c r="M299" s="172">
        <f>SUM(G300)</f>
        <v>0</v>
      </c>
      <c r="N299" s="172">
        <f>SUM(H300)</f>
        <v>0</v>
      </c>
      <c r="O299" s="178"/>
      <c r="P299" s="92"/>
    </row>
    <row r="300" spans="1:16" ht="31.5" hidden="1" x14ac:dyDescent="0.2">
      <c r="A300" s="42"/>
      <c r="B300" s="168" t="s">
        <v>35</v>
      </c>
      <c r="C300" s="169" t="s">
        <v>435</v>
      </c>
      <c r="D300" s="170" t="s">
        <v>36</v>
      </c>
      <c r="E300" s="171"/>
      <c r="F300" s="172"/>
      <c r="G300" s="172"/>
      <c r="H300" s="172">
        <f>SUM(G300)</f>
        <v>0</v>
      </c>
      <c r="I300" s="188"/>
      <c r="J300" s="189"/>
      <c r="K300" s="188"/>
      <c r="L300" s="172"/>
      <c r="M300" s="172">
        <f>SUM(G300)</f>
        <v>0</v>
      </c>
      <c r="N300" s="172">
        <f>SUM(H300)</f>
        <v>0</v>
      </c>
      <c r="O300" s="178"/>
      <c r="P300" s="92"/>
    </row>
    <row r="301" spans="1:16" ht="47.25" x14ac:dyDescent="0.2">
      <c r="A301" s="19" t="s">
        <v>313</v>
      </c>
      <c r="B301" s="182" t="s">
        <v>314</v>
      </c>
      <c r="C301" s="183" t="s">
        <v>315</v>
      </c>
      <c r="D301" s="184" t="s">
        <v>26</v>
      </c>
      <c r="E301" s="185"/>
      <c r="F301" s="186">
        <f t="shared" ref="F301:N301" si="67">F302+F312+F317</f>
        <v>5778.4</v>
      </c>
      <c r="G301" s="186">
        <f t="shared" si="67"/>
        <v>510</v>
      </c>
      <c r="H301" s="186">
        <f t="shared" si="67"/>
        <v>6288.4</v>
      </c>
      <c r="I301" s="187">
        <f t="shared" si="67"/>
        <v>700</v>
      </c>
      <c r="J301" s="186">
        <f t="shared" si="67"/>
        <v>0</v>
      </c>
      <c r="K301" s="187">
        <f t="shared" si="67"/>
        <v>700</v>
      </c>
      <c r="L301" s="186">
        <f t="shared" si="67"/>
        <v>6478.4</v>
      </c>
      <c r="M301" s="186">
        <f t="shared" si="67"/>
        <v>510</v>
      </c>
      <c r="N301" s="186">
        <f t="shared" si="67"/>
        <v>6988.4</v>
      </c>
      <c r="O301" s="178"/>
      <c r="P301" s="92"/>
    </row>
    <row r="302" spans="1:16" ht="31.5" x14ac:dyDescent="0.2">
      <c r="A302" s="49"/>
      <c r="B302" s="190" t="s">
        <v>316</v>
      </c>
      <c r="C302" s="191" t="s">
        <v>317</v>
      </c>
      <c r="D302" s="192" t="s">
        <v>26</v>
      </c>
      <c r="E302" s="193"/>
      <c r="F302" s="194">
        <f t="shared" ref="F302:N302" si="68">F303</f>
        <v>2628.4</v>
      </c>
      <c r="G302" s="194">
        <f t="shared" si="68"/>
        <v>0</v>
      </c>
      <c r="H302" s="194">
        <f t="shared" si="68"/>
        <v>2628.4</v>
      </c>
      <c r="I302" s="195">
        <f t="shared" si="68"/>
        <v>600</v>
      </c>
      <c r="J302" s="194">
        <f t="shared" si="68"/>
        <v>0</v>
      </c>
      <c r="K302" s="195">
        <f t="shared" si="68"/>
        <v>600</v>
      </c>
      <c r="L302" s="194">
        <f t="shared" si="68"/>
        <v>3228.4</v>
      </c>
      <c r="M302" s="194">
        <f t="shared" si="68"/>
        <v>0</v>
      </c>
      <c r="N302" s="194">
        <f t="shared" si="68"/>
        <v>3228.4</v>
      </c>
      <c r="O302" s="178"/>
      <c r="P302" s="92"/>
    </row>
    <row r="303" spans="1:16" ht="31.5" x14ac:dyDescent="0.2">
      <c r="A303" s="42"/>
      <c r="B303" s="168" t="s">
        <v>318</v>
      </c>
      <c r="C303" s="169" t="s">
        <v>319</v>
      </c>
      <c r="D303" s="170" t="s">
        <v>26</v>
      </c>
      <c r="E303" s="171"/>
      <c r="F303" s="172">
        <f>F304+F307</f>
        <v>2628.4</v>
      </c>
      <c r="G303" s="172">
        <f>G304+G307</f>
        <v>0</v>
      </c>
      <c r="H303" s="172">
        <f>H304+H307</f>
        <v>2628.4</v>
      </c>
      <c r="I303" s="188">
        <f>I304+I307+I310</f>
        <v>600</v>
      </c>
      <c r="J303" s="189">
        <f>SUM(J310)</f>
        <v>0</v>
      </c>
      <c r="K303" s="189">
        <f>SUM(K310)</f>
        <v>600</v>
      </c>
      <c r="L303" s="172">
        <f>L304+L307+I303</f>
        <v>3228.4</v>
      </c>
      <c r="M303" s="189">
        <f>SUM(M310)+M304+M307</f>
        <v>0</v>
      </c>
      <c r="N303" s="172">
        <f>N304+N307+K303</f>
        <v>3228.4</v>
      </c>
      <c r="O303" s="178"/>
      <c r="P303" s="92"/>
    </row>
    <row r="304" spans="1:16" ht="31.5" x14ac:dyDescent="0.2">
      <c r="A304" s="42"/>
      <c r="B304" s="168" t="s">
        <v>316</v>
      </c>
      <c r="C304" s="169" t="s">
        <v>320</v>
      </c>
      <c r="D304" s="170" t="s">
        <v>26</v>
      </c>
      <c r="E304" s="171"/>
      <c r="F304" s="172">
        <f>F306+F305</f>
        <v>2318.4</v>
      </c>
      <c r="G304" s="172">
        <f>G306</f>
        <v>0</v>
      </c>
      <c r="H304" s="172">
        <f>H306+H305</f>
        <v>2318.4</v>
      </c>
      <c r="I304" s="188">
        <f>I306</f>
        <v>0</v>
      </c>
      <c r="J304" s="189"/>
      <c r="K304" s="188">
        <f>K306</f>
        <v>0</v>
      </c>
      <c r="L304" s="172">
        <f>L306+L305</f>
        <v>2318.4</v>
      </c>
      <c r="M304" s="172">
        <f>M306</f>
        <v>0</v>
      </c>
      <c r="N304" s="172">
        <f>N306+N305</f>
        <v>2318.4</v>
      </c>
      <c r="O304" s="178"/>
      <c r="P304" s="92"/>
    </row>
    <row r="305" spans="1:16" ht="31.5" x14ac:dyDescent="0.2">
      <c r="A305" s="42"/>
      <c r="B305" s="168" t="s">
        <v>35</v>
      </c>
      <c r="C305" s="169" t="s">
        <v>320</v>
      </c>
      <c r="D305" s="170" t="s">
        <v>36</v>
      </c>
      <c r="E305" s="171"/>
      <c r="F305" s="172">
        <v>232.4</v>
      </c>
      <c r="G305" s="172"/>
      <c r="H305" s="172">
        <f>SUM(F305)</f>
        <v>232.4</v>
      </c>
      <c r="I305" s="188"/>
      <c r="J305" s="189"/>
      <c r="K305" s="188"/>
      <c r="L305" s="172">
        <f>SUM(F305)</f>
        <v>232.4</v>
      </c>
      <c r="M305" s="172"/>
      <c r="N305" s="172">
        <f>SUM(H305)</f>
        <v>232.4</v>
      </c>
      <c r="O305" s="178"/>
      <c r="P305" s="92"/>
    </row>
    <row r="306" spans="1:16" ht="18.75" x14ac:dyDescent="0.2">
      <c r="A306" s="42"/>
      <c r="B306" s="168" t="s">
        <v>54</v>
      </c>
      <c r="C306" s="169" t="s">
        <v>320</v>
      </c>
      <c r="D306" s="170" t="s">
        <v>55</v>
      </c>
      <c r="E306" s="171"/>
      <c r="F306" s="172">
        <v>2086</v>
      </c>
      <c r="G306" s="172"/>
      <c r="H306" s="172">
        <f>SUM(F306:G306)</f>
        <v>2086</v>
      </c>
      <c r="I306" s="188">
        <v>0</v>
      </c>
      <c r="J306" s="189"/>
      <c r="K306" s="188">
        <v>0</v>
      </c>
      <c r="L306" s="172">
        <f>SUM(F306)</f>
        <v>2086</v>
      </c>
      <c r="M306" s="172">
        <f>G306+J306</f>
        <v>0</v>
      </c>
      <c r="N306" s="172">
        <f>SUM(L306:M306)</f>
        <v>2086</v>
      </c>
      <c r="O306" s="178"/>
      <c r="P306" s="92"/>
    </row>
    <row r="307" spans="1:16" ht="31.5" x14ac:dyDescent="0.2">
      <c r="A307" s="42"/>
      <c r="B307" s="168" t="s">
        <v>321</v>
      </c>
      <c r="C307" s="169" t="s">
        <v>322</v>
      </c>
      <c r="D307" s="170" t="s">
        <v>26</v>
      </c>
      <c r="E307" s="171"/>
      <c r="F307" s="172">
        <f>F308+F309</f>
        <v>310</v>
      </c>
      <c r="G307" s="172">
        <f>G308+G309</f>
        <v>0</v>
      </c>
      <c r="H307" s="172">
        <f>H308+H309</f>
        <v>310</v>
      </c>
      <c r="I307" s="188">
        <f>I308+I309</f>
        <v>0</v>
      </c>
      <c r="J307" s="189"/>
      <c r="K307" s="188">
        <f>K308+K309</f>
        <v>0</v>
      </c>
      <c r="L307" s="172">
        <f>L308+L309</f>
        <v>310</v>
      </c>
      <c r="M307" s="172">
        <f>M308+M309</f>
        <v>0</v>
      </c>
      <c r="N307" s="172">
        <f>N308+N309</f>
        <v>310</v>
      </c>
      <c r="O307" s="178"/>
      <c r="P307" s="92"/>
    </row>
    <row r="308" spans="1:16" ht="31.5" x14ac:dyDescent="0.2">
      <c r="A308" s="42"/>
      <c r="B308" s="168" t="s">
        <v>35</v>
      </c>
      <c r="C308" s="169" t="s">
        <v>322</v>
      </c>
      <c r="D308" s="170" t="s">
        <v>36</v>
      </c>
      <c r="E308" s="171"/>
      <c r="F308" s="172">
        <v>300</v>
      </c>
      <c r="G308" s="172"/>
      <c r="H308" s="172">
        <v>300</v>
      </c>
      <c r="I308" s="188">
        <v>0</v>
      </c>
      <c r="J308" s="189"/>
      <c r="K308" s="188">
        <v>0</v>
      </c>
      <c r="L308" s="172">
        <v>300</v>
      </c>
      <c r="M308" s="172"/>
      <c r="N308" s="172">
        <v>300</v>
      </c>
      <c r="O308" s="178"/>
      <c r="P308" s="92"/>
    </row>
    <row r="309" spans="1:16" ht="18.75" x14ac:dyDescent="0.2">
      <c r="A309" s="42"/>
      <c r="B309" s="168" t="s">
        <v>54</v>
      </c>
      <c r="C309" s="169" t="s">
        <v>322</v>
      </c>
      <c r="D309" s="170" t="s">
        <v>55</v>
      </c>
      <c r="E309" s="171"/>
      <c r="F309" s="172">
        <v>10</v>
      </c>
      <c r="G309" s="172"/>
      <c r="H309" s="172">
        <v>10</v>
      </c>
      <c r="I309" s="188">
        <v>0</v>
      </c>
      <c r="J309" s="189"/>
      <c r="K309" s="188">
        <v>0</v>
      </c>
      <c r="L309" s="172">
        <v>10</v>
      </c>
      <c r="M309" s="172"/>
      <c r="N309" s="172">
        <v>10</v>
      </c>
      <c r="O309" s="178"/>
      <c r="P309" s="92"/>
    </row>
    <row r="310" spans="1:16" ht="31.5" x14ac:dyDescent="0.2">
      <c r="A310" s="42"/>
      <c r="B310" s="168" t="s">
        <v>468</v>
      </c>
      <c r="C310" s="169" t="s">
        <v>466</v>
      </c>
      <c r="D310" s="170"/>
      <c r="E310" s="171"/>
      <c r="F310" s="172"/>
      <c r="G310" s="172"/>
      <c r="H310" s="172"/>
      <c r="I310" s="188">
        <v>600</v>
      </c>
      <c r="J310" s="189">
        <f>SUM(J311)</f>
        <v>0</v>
      </c>
      <c r="K310" s="189">
        <f>SUM(K311)</f>
        <v>600</v>
      </c>
      <c r="L310" s="172">
        <f t="shared" ref="L310:N311" si="69">SUM(I310)</f>
        <v>600</v>
      </c>
      <c r="M310" s="172">
        <f t="shared" si="69"/>
        <v>0</v>
      </c>
      <c r="N310" s="172">
        <f t="shared" si="69"/>
        <v>600</v>
      </c>
      <c r="O310" s="178"/>
      <c r="P310" s="92"/>
    </row>
    <row r="311" spans="1:16" ht="31.5" x14ac:dyDescent="0.2">
      <c r="A311" s="42"/>
      <c r="B311" s="168" t="s">
        <v>35</v>
      </c>
      <c r="C311" s="169" t="s">
        <v>466</v>
      </c>
      <c r="D311" s="170" t="s">
        <v>36</v>
      </c>
      <c r="E311" s="171"/>
      <c r="F311" s="172"/>
      <c r="G311" s="172"/>
      <c r="H311" s="172"/>
      <c r="I311" s="188">
        <v>600</v>
      </c>
      <c r="J311" s="189"/>
      <c r="K311" s="188">
        <f>SUM(I311)</f>
        <v>600</v>
      </c>
      <c r="L311" s="172">
        <f t="shared" si="69"/>
        <v>600</v>
      </c>
      <c r="M311" s="172">
        <f t="shared" si="69"/>
        <v>0</v>
      </c>
      <c r="N311" s="172">
        <f t="shared" si="69"/>
        <v>600</v>
      </c>
      <c r="O311" s="178"/>
      <c r="P311" s="92"/>
    </row>
    <row r="312" spans="1:16" ht="31.5" x14ac:dyDescent="0.2">
      <c r="A312" s="49"/>
      <c r="B312" s="190" t="s">
        <v>323</v>
      </c>
      <c r="C312" s="191" t="s">
        <v>324</v>
      </c>
      <c r="D312" s="192" t="s">
        <v>26</v>
      </c>
      <c r="E312" s="193"/>
      <c r="F312" s="194">
        <f t="shared" ref="F312:N314" si="70">F313</f>
        <v>150</v>
      </c>
      <c r="G312" s="194">
        <f t="shared" si="70"/>
        <v>0</v>
      </c>
      <c r="H312" s="194">
        <f t="shared" si="70"/>
        <v>150</v>
      </c>
      <c r="I312" s="195">
        <f t="shared" si="70"/>
        <v>0</v>
      </c>
      <c r="J312" s="194">
        <f>J313</f>
        <v>0</v>
      </c>
      <c r="K312" s="195">
        <f t="shared" si="70"/>
        <v>0</v>
      </c>
      <c r="L312" s="194">
        <f t="shared" si="70"/>
        <v>150</v>
      </c>
      <c r="M312" s="194">
        <f t="shared" si="70"/>
        <v>0</v>
      </c>
      <c r="N312" s="194">
        <f t="shared" si="70"/>
        <v>150</v>
      </c>
      <c r="O312" s="178"/>
      <c r="P312" s="92"/>
    </row>
    <row r="313" spans="1:16" ht="47.25" x14ac:dyDescent="0.2">
      <c r="A313" s="42"/>
      <c r="B313" s="168" t="s">
        <v>325</v>
      </c>
      <c r="C313" s="169" t="s">
        <v>326</v>
      </c>
      <c r="D313" s="170" t="s">
        <v>26</v>
      </c>
      <c r="E313" s="171"/>
      <c r="F313" s="172">
        <f t="shared" si="70"/>
        <v>150</v>
      </c>
      <c r="G313" s="172">
        <f t="shared" si="70"/>
        <v>0</v>
      </c>
      <c r="H313" s="172">
        <f t="shared" si="70"/>
        <v>150</v>
      </c>
      <c r="I313" s="188">
        <f t="shared" si="70"/>
        <v>0</v>
      </c>
      <c r="J313" s="189"/>
      <c r="K313" s="188">
        <f t="shared" si="70"/>
        <v>0</v>
      </c>
      <c r="L313" s="172">
        <f t="shared" si="70"/>
        <v>150</v>
      </c>
      <c r="M313" s="172">
        <f t="shared" si="70"/>
        <v>0</v>
      </c>
      <c r="N313" s="172">
        <f t="shared" si="70"/>
        <v>150</v>
      </c>
      <c r="O313" s="178"/>
      <c r="P313" s="92"/>
    </row>
    <row r="314" spans="1:16" ht="33" customHeight="1" x14ac:dyDescent="0.2">
      <c r="A314" s="42"/>
      <c r="B314" s="168" t="s">
        <v>327</v>
      </c>
      <c r="C314" s="169" t="s">
        <v>328</v>
      </c>
      <c r="D314" s="170" t="s">
        <v>26</v>
      </c>
      <c r="E314" s="171"/>
      <c r="F314" s="172">
        <f t="shared" si="70"/>
        <v>150</v>
      </c>
      <c r="G314" s="172">
        <f t="shared" si="70"/>
        <v>0</v>
      </c>
      <c r="H314" s="172">
        <f t="shared" si="70"/>
        <v>150</v>
      </c>
      <c r="I314" s="188">
        <f t="shared" si="70"/>
        <v>0</v>
      </c>
      <c r="J314" s="189"/>
      <c r="K314" s="188">
        <f t="shared" si="70"/>
        <v>0</v>
      </c>
      <c r="L314" s="172">
        <f t="shared" si="70"/>
        <v>150</v>
      </c>
      <c r="M314" s="172">
        <f t="shared" si="70"/>
        <v>0</v>
      </c>
      <c r="N314" s="172">
        <f t="shared" si="70"/>
        <v>150</v>
      </c>
      <c r="O314" s="178"/>
      <c r="P314" s="92"/>
    </row>
    <row r="315" spans="1:16" ht="31.5" x14ac:dyDescent="0.2">
      <c r="A315" s="42"/>
      <c r="B315" s="168" t="s">
        <v>35</v>
      </c>
      <c r="C315" s="169" t="s">
        <v>328</v>
      </c>
      <c r="D315" s="170" t="s">
        <v>36</v>
      </c>
      <c r="E315" s="171"/>
      <c r="F315" s="172">
        <v>150</v>
      </c>
      <c r="G315" s="172"/>
      <c r="H315" s="172">
        <v>150</v>
      </c>
      <c r="I315" s="188">
        <v>0</v>
      </c>
      <c r="J315" s="189"/>
      <c r="K315" s="188">
        <v>0</v>
      </c>
      <c r="L315" s="172">
        <v>150</v>
      </c>
      <c r="M315" s="172"/>
      <c r="N315" s="172">
        <v>150</v>
      </c>
      <c r="O315" s="178"/>
      <c r="P315" s="92"/>
    </row>
    <row r="316" spans="1:16" ht="18.75" hidden="1" x14ac:dyDescent="0.2">
      <c r="A316" s="42"/>
      <c r="B316" s="168"/>
      <c r="C316" s="169"/>
      <c r="D316" s="170"/>
      <c r="E316" s="171"/>
      <c r="F316" s="172"/>
      <c r="G316" s="172"/>
      <c r="H316" s="172"/>
      <c r="I316" s="188"/>
      <c r="J316" s="189"/>
      <c r="K316" s="189"/>
      <c r="L316" s="172"/>
      <c r="M316" s="172"/>
      <c r="N316" s="172"/>
      <c r="O316" s="178"/>
      <c r="P316" s="92"/>
    </row>
    <row r="317" spans="1:16" ht="31.5" x14ac:dyDescent="0.2">
      <c r="A317" s="49"/>
      <c r="B317" s="190" t="s">
        <v>329</v>
      </c>
      <c r="C317" s="191" t="s">
        <v>330</v>
      </c>
      <c r="D317" s="192" t="s">
        <v>26</v>
      </c>
      <c r="E317" s="193"/>
      <c r="F317" s="194">
        <f t="shared" ref="F317:N318" si="71">F318</f>
        <v>3000</v>
      </c>
      <c r="G317" s="194">
        <f t="shared" si="71"/>
        <v>510</v>
      </c>
      <c r="H317" s="194">
        <f t="shared" si="71"/>
        <v>3510</v>
      </c>
      <c r="I317" s="195">
        <f>I318+I322</f>
        <v>100</v>
      </c>
      <c r="J317" s="194">
        <f>SUM(J322)</f>
        <v>0</v>
      </c>
      <c r="K317" s="194">
        <f>SUM(K322)</f>
        <v>100</v>
      </c>
      <c r="L317" s="194">
        <f>L318+I317</f>
        <v>3100</v>
      </c>
      <c r="M317" s="194">
        <f>M318+M322</f>
        <v>510</v>
      </c>
      <c r="N317" s="194">
        <f>N318+K317</f>
        <v>3610</v>
      </c>
      <c r="O317" s="178"/>
      <c r="P317" s="92"/>
    </row>
    <row r="318" spans="1:16" ht="96" customHeight="1" x14ac:dyDescent="0.2">
      <c r="A318" s="42"/>
      <c r="B318" s="214" t="s">
        <v>331</v>
      </c>
      <c r="C318" s="169" t="s">
        <v>332</v>
      </c>
      <c r="D318" s="170" t="s">
        <v>26</v>
      </c>
      <c r="E318" s="171"/>
      <c r="F318" s="172">
        <f t="shared" si="71"/>
        <v>3000</v>
      </c>
      <c r="G318" s="172">
        <f t="shared" si="71"/>
        <v>510</v>
      </c>
      <c r="H318" s="172">
        <f t="shared" si="71"/>
        <v>3510</v>
      </c>
      <c r="I318" s="188">
        <f t="shared" si="71"/>
        <v>0</v>
      </c>
      <c r="J318" s="189"/>
      <c r="K318" s="188">
        <f t="shared" si="71"/>
        <v>0</v>
      </c>
      <c r="L318" s="172">
        <f t="shared" si="71"/>
        <v>3000</v>
      </c>
      <c r="M318" s="172">
        <f t="shared" si="71"/>
        <v>510</v>
      </c>
      <c r="N318" s="172">
        <f t="shared" si="71"/>
        <v>3510</v>
      </c>
      <c r="O318" s="178"/>
      <c r="P318" s="92"/>
    </row>
    <row r="319" spans="1:16" ht="31.5" x14ac:dyDescent="0.2">
      <c r="A319" s="42"/>
      <c r="B319" s="168" t="s">
        <v>333</v>
      </c>
      <c r="C319" s="169" t="s">
        <v>334</v>
      </c>
      <c r="D319" s="170" t="s">
        <v>26</v>
      </c>
      <c r="E319" s="171"/>
      <c r="F319" s="172">
        <f>F320+F321</f>
        <v>3000</v>
      </c>
      <c r="G319" s="172">
        <f>G320+G321</f>
        <v>510</v>
      </c>
      <c r="H319" s="172">
        <f>H320+H321</f>
        <v>3510</v>
      </c>
      <c r="I319" s="188">
        <f>I320+I321</f>
        <v>0</v>
      </c>
      <c r="J319" s="189"/>
      <c r="K319" s="188">
        <f>K320+K321</f>
        <v>0</v>
      </c>
      <c r="L319" s="172">
        <f>L320+L321</f>
        <v>3000</v>
      </c>
      <c r="M319" s="172">
        <f>M320+M321</f>
        <v>510</v>
      </c>
      <c r="N319" s="172">
        <f>SUM(H319)</f>
        <v>3510</v>
      </c>
      <c r="O319" s="178"/>
      <c r="P319" s="92"/>
    </row>
    <row r="320" spans="1:16" ht="31.5" x14ac:dyDescent="0.2">
      <c r="A320" s="42"/>
      <c r="B320" s="168" t="s">
        <v>35</v>
      </c>
      <c r="C320" s="169" t="s">
        <v>334</v>
      </c>
      <c r="D320" s="170" t="s">
        <v>36</v>
      </c>
      <c r="E320" s="171"/>
      <c r="F320" s="172">
        <v>2936.8</v>
      </c>
      <c r="G320" s="172">
        <f>160+350</f>
        <v>510</v>
      </c>
      <c r="H320" s="172">
        <f>SUM(F320:G320)</f>
        <v>3446.8</v>
      </c>
      <c r="I320" s="188">
        <v>0</v>
      </c>
      <c r="J320" s="189"/>
      <c r="K320" s="188">
        <v>0</v>
      </c>
      <c r="L320" s="172">
        <f>SUM(F320)</f>
        <v>2936.8</v>
      </c>
      <c r="M320" s="172">
        <f>SUM(G320)</f>
        <v>510</v>
      </c>
      <c r="N320" s="172">
        <f>SUM(L320:M320)</f>
        <v>3446.8</v>
      </c>
      <c r="O320" s="178"/>
      <c r="P320" s="92"/>
    </row>
    <row r="321" spans="1:16" ht="18.75" x14ac:dyDescent="0.2">
      <c r="A321" s="42"/>
      <c r="B321" s="168" t="s">
        <v>41</v>
      </c>
      <c r="C321" s="169" t="s">
        <v>334</v>
      </c>
      <c r="D321" s="170" t="s">
        <v>42</v>
      </c>
      <c r="E321" s="171"/>
      <c r="F321" s="172">
        <v>63.2</v>
      </c>
      <c r="G321" s="172"/>
      <c r="H321" s="172">
        <v>63.2</v>
      </c>
      <c r="I321" s="188">
        <v>0</v>
      </c>
      <c r="J321" s="189"/>
      <c r="K321" s="188">
        <v>0</v>
      </c>
      <c r="L321" s="172">
        <v>63.2</v>
      </c>
      <c r="M321" s="172"/>
      <c r="N321" s="172">
        <v>63.2</v>
      </c>
      <c r="O321" s="178"/>
      <c r="P321" s="92"/>
    </row>
    <row r="322" spans="1:16" ht="47.25" x14ac:dyDescent="0.2">
      <c r="A322" s="42"/>
      <c r="B322" s="168" t="s">
        <v>465</v>
      </c>
      <c r="C322" s="169" t="s">
        <v>463</v>
      </c>
      <c r="D322" s="170"/>
      <c r="E322" s="171"/>
      <c r="F322" s="172"/>
      <c r="G322" s="172"/>
      <c r="H322" s="172"/>
      <c r="I322" s="188">
        <f>SUM(I323)</f>
        <v>100</v>
      </c>
      <c r="J322" s="189">
        <f>SUM(J323)</f>
        <v>0</v>
      </c>
      <c r="K322" s="189">
        <f>SUM(K323)</f>
        <v>100</v>
      </c>
      <c r="L322" s="172">
        <f t="shared" ref="L322:N323" si="72">SUM(I322)</f>
        <v>100</v>
      </c>
      <c r="M322" s="172">
        <f t="shared" si="72"/>
        <v>0</v>
      </c>
      <c r="N322" s="172">
        <f t="shared" si="72"/>
        <v>100</v>
      </c>
      <c r="O322" s="178"/>
      <c r="P322" s="92"/>
    </row>
    <row r="323" spans="1:16" ht="31.5" x14ac:dyDescent="0.2">
      <c r="A323" s="42"/>
      <c r="B323" s="168" t="s">
        <v>35</v>
      </c>
      <c r="C323" s="169" t="s">
        <v>464</v>
      </c>
      <c r="D323" s="170" t="s">
        <v>36</v>
      </c>
      <c r="E323" s="171"/>
      <c r="F323" s="172"/>
      <c r="G323" s="172"/>
      <c r="H323" s="172"/>
      <c r="I323" s="188">
        <v>100</v>
      </c>
      <c r="J323" s="189"/>
      <c r="K323" s="188">
        <v>100</v>
      </c>
      <c r="L323" s="172">
        <f t="shared" si="72"/>
        <v>100</v>
      </c>
      <c r="M323" s="172">
        <f t="shared" si="72"/>
        <v>0</v>
      </c>
      <c r="N323" s="172">
        <f t="shared" si="72"/>
        <v>100</v>
      </c>
      <c r="O323" s="178"/>
      <c r="P323" s="92"/>
    </row>
    <row r="324" spans="1:16" ht="31.5" x14ac:dyDescent="0.2">
      <c r="A324" s="19" t="s">
        <v>335</v>
      </c>
      <c r="B324" s="182" t="s">
        <v>336</v>
      </c>
      <c r="C324" s="183" t="s">
        <v>337</v>
      </c>
      <c r="D324" s="184" t="s">
        <v>26</v>
      </c>
      <c r="E324" s="185"/>
      <c r="F324" s="186">
        <f>F325+F335+F332</f>
        <v>49575.8</v>
      </c>
      <c r="G324" s="186">
        <f>G325+G335+G332</f>
        <v>-4211.5</v>
      </c>
      <c r="H324" s="186">
        <f>H325+H335+H332</f>
        <v>45364.3</v>
      </c>
      <c r="I324" s="187">
        <f>I325+I335</f>
        <v>119390.6</v>
      </c>
      <c r="J324" s="186">
        <f>J325+J335</f>
        <v>5000</v>
      </c>
      <c r="K324" s="187">
        <f>K325+K335</f>
        <v>124390.6</v>
      </c>
      <c r="L324" s="186">
        <f>L325+L335+L332</f>
        <v>168966.40000000002</v>
      </c>
      <c r="M324" s="186">
        <f>SUM(J324)+G324</f>
        <v>788.5</v>
      </c>
      <c r="N324" s="186">
        <f>N325+N335+N332</f>
        <v>169754.90000000002</v>
      </c>
      <c r="O324" s="178"/>
      <c r="P324" s="92"/>
    </row>
    <row r="325" spans="1:16" ht="18.75" x14ac:dyDescent="0.2">
      <c r="A325" s="49"/>
      <c r="B325" s="190" t="s">
        <v>338</v>
      </c>
      <c r="C325" s="191" t="s">
        <v>339</v>
      </c>
      <c r="D325" s="192" t="s">
        <v>26</v>
      </c>
      <c r="E325" s="193"/>
      <c r="F325" s="194">
        <f t="shared" ref="F325:N325" si="73">F326</f>
        <v>29421.300000000003</v>
      </c>
      <c r="G325" s="194">
        <f t="shared" si="73"/>
        <v>0</v>
      </c>
      <c r="H325" s="194">
        <f t="shared" si="73"/>
        <v>29421.300000000003</v>
      </c>
      <c r="I325" s="195">
        <f t="shared" si="73"/>
        <v>119390.6</v>
      </c>
      <c r="J325" s="194">
        <f t="shared" si="73"/>
        <v>0</v>
      </c>
      <c r="K325" s="195">
        <f t="shared" si="73"/>
        <v>119390.6</v>
      </c>
      <c r="L325" s="194">
        <f t="shared" si="73"/>
        <v>148811.90000000002</v>
      </c>
      <c r="M325" s="194">
        <f t="shared" si="73"/>
        <v>0</v>
      </c>
      <c r="N325" s="194">
        <f t="shared" si="73"/>
        <v>148811.90000000002</v>
      </c>
      <c r="O325" s="178"/>
      <c r="P325" s="92"/>
    </row>
    <row r="326" spans="1:16" ht="47.25" x14ac:dyDescent="0.2">
      <c r="A326" s="42"/>
      <c r="B326" s="168" t="s">
        <v>340</v>
      </c>
      <c r="C326" s="169" t="s">
        <v>341</v>
      </c>
      <c r="D326" s="170" t="s">
        <v>26</v>
      </c>
      <c r="E326" s="171"/>
      <c r="F326" s="172">
        <f>F327+F330</f>
        <v>29421.300000000003</v>
      </c>
      <c r="G326" s="172">
        <f>G327+G330</f>
        <v>0</v>
      </c>
      <c r="H326" s="172">
        <f>H327+H330</f>
        <v>29421.300000000003</v>
      </c>
      <c r="I326" s="188">
        <f>I327+I330</f>
        <v>119390.6</v>
      </c>
      <c r="J326" s="189">
        <f>SUM(J330)</f>
        <v>0</v>
      </c>
      <c r="K326" s="188">
        <f>K327+K330</f>
        <v>119390.6</v>
      </c>
      <c r="L326" s="172">
        <f>L327+L330</f>
        <v>148811.90000000002</v>
      </c>
      <c r="M326" s="172">
        <f>M327+M330</f>
        <v>0</v>
      </c>
      <c r="N326" s="172">
        <f>N327+N330</f>
        <v>148811.90000000002</v>
      </c>
      <c r="O326" s="178"/>
      <c r="P326" s="92"/>
    </row>
    <row r="327" spans="1:16" ht="36" customHeight="1" x14ac:dyDescent="0.2">
      <c r="A327" s="42"/>
      <c r="B327" s="168" t="s">
        <v>342</v>
      </c>
      <c r="C327" s="169" t="s">
        <v>343</v>
      </c>
      <c r="D327" s="170" t="s">
        <v>26</v>
      </c>
      <c r="E327" s="171"/>
      <c r="F327" s="172">
        <f>F328+F329</f>
        <v>9985.6</v>
      </c>
      <c r="G327" s="172">
        <f>G328+G329</f>
        <v>0</v>
      </c>
      <c r="H327" s="172">
        <f>H328+H329</f>
        <v>9985.6</v>
      </c>
      <c r="I327" s="188">
        <f>I328+I329</f>
        <v>0</v>
      </c>
      <c r="J327" s="189"/>
      <c r="K327" s="188">
        <f>K328+K329</f>
        <v>0</v>
      </c>
      <c r="L327" s="172">
        <f>L328+L329</f>
        <v>9985.6</v>
      </c>
      <c r="M327" s="172">
        <f>M328+M329</f>
        <v>0</v>
      </c>
      <c r="N327" s="172">
        <f>N328+N329</f>
        <v>9985.6</v>
      </c>
      <c r="O327" s="178"/>
      <c r="P327" s="92"/>
    </row>
    <row r="328" spans="1:16" ht="31.5" x14ac:dyDescent="0.2">
      <c r="A328" s="42"/>
      <c r="B328" s="168" t="s">
        <v>35</v>
      </c>
      <c r="C328" s="169" t="s">
        <v>343</v>
      </c>
      <c r="D328" s="170" t="s">
        <v>36</v>
      </c>
      <c r="E328" s="171"/>
      <c r="F328" s="172">
        <v>2940</v>
      </c>
      <c r="G328" s="172"/>
      <c r="H328" s="172">
        <f>F328+G328</f>
        <v>2940</v>
      </c>
      <c r="I328" s="188">
        <v>0</v>
      </c>
      <c r="J328" s="189"/>
      <c r="K328" s="188">
        <v>0</v>
      </c>
      <c r="L328" s="172">
        <f t="shared" ref="L328:N329" si="74">SUM(F328)</f>
        <v>2940</v>
      </c>
      <c r="M328" s="172">
        <f t="shared" si="74"/>
        <v>0</v>
      </c>
      <c r="N328" s="172">
        <f t="shared" si="74"/>
        <v>2940</v>
      </c>
      <c r="O328" s="178"/>
      <c r="P328" s="92"/>
    </row>
    <row r="329" spans="1:16" ht="31.5" x14ac:dyDescent="0.2">
      <c r="A329" s="42"/>
      <c r="B329" s="168" t="s">
        <v>131</v>
      </c>
      <c r="C329" s="169" t="s">
        <v>343</v>
      </c>
      <c r="D329" s="170" t="s">
        <v>132</v>
      </c>
      <c r="E329" s="171"/>
      <c r="F329" s="172">
        <v>7045.6</v>
      </c>
      <c r="G329" s="172"/>
      <c r="H329" s="172">
        <f>SUM(F329)+G329</f>
        <v>7045.6</v>
      </c>
      <c r="I329" s="188">
        <v>0</v>
      </c>
      <c r="J329" s="189"/>
      <c r="K329" s="188">
        <v>0</v>
      </c>
      <c r="L329" s="172">
        <f>SUM(F329)</f>
        <v>7045.6</v>
      </c>
      <c r="M329" s="172">
        <f t="shared" si="74"/>
        <v>0</v>
      </c>
      <c r="N329" s="172">
        <f>SUM(H329)</f>
        <v>7045.6</v>
      </c>
      <c r="O329" s="178"/>
      <c r="P329" s="92"/>
    </row>
    <row r="330" spans="1:16" ht="18.75" x14ac:dyDescent="0.2">
      <c r="A330" s="42"/>
      <c r="B330" s="168" t="s">
        <v>344</v>
      </c>
      <c r="C330" s="169" t="s">
        <v>345</v>
      </c>
      <c r="D330" s="170" t="s">
        <v>26</v>
      </c>
      <c r="E330" s="171"/>
      <c r="F330" s="172">
        <f>F331</f>
        <v>19435.7</v>
      </c>
      <c r="G330" s="172">
        <f>G331</f>
        <v>0</v>
      </c>
      <c r="H330" s="172">
        <f>H331</f>
        <v>19435.7</v>
      </c>
      <c r="I330" s="188">
        <f>I331</f>
        <v>119390.6</v>
      </c>
      <c r="J330" s="189"/>
      <c r="K330" s="188">
        <f>K331</f>
        <v>119390.6</v>
      </c>
      <c r="L330" s="172">
        <f>L331</f>
        <v>138826.30000000002</v>
      </c>
      <c r="M330" s="172">
        <f>M331</f>
        <v>0</v>
      </c>
      <c r="N330" s="172">
        <f>N331</f>
        <v>138826.30000000002</v>
      </c>
      <c r="O330" s="178"/>
      <c r="P330" s="92"/>
    </row>
    <row r="331" spans="1:16" ht="31.5" x14ac:dyDescent="0.2">
      <c r="A331" s="42"/>
      <c r="B331" s="168" t="s">
        <v>131</v>
      </c>
      <c r="C331" s="169" t="s">
        <v>345</v>
      </c>
      <c r="D331" s="170" t="s">
        <v>132</v>
      </c>
      <c r="E331" s="171"/>
      <c r="F331" s="172">
        <v>19435.7</v>
      </c>
      <c r="G331" s="172"/>
      <c r="H331" s="172">
        <f>SUM(F331)</f>
        <v>19435.7</v>
      </c>
      <c r="I331" s="188">
        <v>119390.6</v>
      </c>
      <c r="J331" s="189"/>
      <c r="K331" s="188">
        <f>SUM(I331)</f>
        <v>119390.6</v>
      </c>
      <c r="L331" s="172">
        <f>SUM(F331)+I331</f>
        <v>138826.30000000002</v>
      </c>
      <c r="M331" s="172">
        <f>SUM(G331)+J331</f>
        <v>0</v>
      </c>
      <c r="N331" s="172">
        <f>SUM(H331)+K331</f>
        <v>138826.30000000002</v>
      </c>
      <c r="O331" s="178"/>
      <c r="P331" s="92"/>
    </row>
    <row r="332" spans="1:16" ht="18.75" x14ac:dyDescent="0.2">
      <c r="A332" s="42"/>
      <c r="B332" s="168" t="s">
        <v>346</v>
      </c>
      <c r="C332" s="169" t="s">
        <v>347</v>
      </c>
      <c r="D332" s="170"/>
      <c r="E332" s="171"/>
      <c r="F332" s="172">
        <v>0</v>
      </c>
      <c r="G332" s="172">
        <f>SUM(G334)</f>
        <v>0</v>
      </c>
      <c r="H332" s="172">
        <f>SUM(F332:G332)</f>
        <v>0</v>
      </c>
      <c r="I332" s="188"/>
      <c r="J332" s="189"/>
      <c r="K332" s="188"/>
      <c r="L332" s="172">
        <f>SUM(F332)</f>
        <v>0</v>
      </c>
      <c r="M332" s="172">
        <f>SUM(G332)</f>
        <v>0</v>
      </c>
      <c r="N332" s="172">
        <f>SUM(H332)</f>
        <v>0</v>
      </c>
      <c r="O332" s="178"/>
      <c r="P332" s="92"/>
    </row>
    <row r="333" spans="1:16" ht="1.5" customHeight="1" x14ac:dyDescent="0.2">
      <c r="A333" s="42"/>
      <c r="B333" s="168"/>
      <c r="C333" s="169"/>
      <c r="D333" s="170"/>
      <c r="E333" s="171"/>
      <c r="F333" s="172"/>
      <c r="G333" s="172">
        <f>SUM(G334)</f>
        <v>0</v>
      </c>
      <c r="H333" s="172">
        <f>SUM(G333)</f>
        <v>0</v>
      </c>
      <c r="I333" s="188"/>
      <c r="J333" s="189"/>
      <c r="K333" s="188"/>
      <c r="L333" s="172"/>
      <c r="M333" s="172">
        <f>SUM(G333)</f>
        <v>0</v>
      </c>
      <c r="N333" s="172">
        <f>SUM(M333)</f>
        <v>0</v>
      </c>
      <c r="O333" s="178"/>
      <c r="P333" s="92"/>
    </row>
    <row r="334" spans="1:16" ht="31.5" x14ac:dyDescent="0.2">
      <c r="A334" s="42"/>
      <c r="B334" s="168" t="s">
        <v>131</v>
      </c>
      <c r="C334" s="169" t="s">
        <v>347</v>
      </c>
      <c r="D334" s="170" t="s">
        <v>132</v>
      </c>
      <c r="E334" s="171"/>
      <c r="F334" s="172">
        <v>0</v>
      </c>
      <c r="G334" s="172"/>
      <c r="H334" s="172">
        <f>SUM(F334:G334)</f>
        <v>0</v>
      </c>
      <c r="I334" s="188"/>
      <c r="J334" s="189"/>
      <c r="K334" s="188"/>
      <c r="L334" s="172">
        <f>SUM(F334)</f>
        <v>0</v>
      </c>
      <c r="M334" s="172">
        <f>SUM(G334)</f>
        <v>0</v>
      </c>
      <c r="N334" s="172">
        <f>SUM(H334)</f>
        <v>0</v>
      </c>
      <c r="O334" s="178"/>
      <c r="P334" s="92"/>
    </row>
    <row r="335" spans="1:16" ht="18.75" x14ac:dyDescent="0.2">
      <c r="A335" s="42"/>
      <c r="B335" s="190" t="s">
        <v>348</v>
      </c>
      <c r="C335" s="191" t="s">
        <v>349</v>
      </c>
      <c r="D335" s="192"/>
      <c r="E335" s="193"/>
      <c r="F335" s="194">
        <f>SUM(F337)</f>
        <v>20154.5</v>
      </c>
      <c r="G335" s="194">
        <f>SUM(G337)</f>
        <v>-4211.5</v>
      </c>
      <c r="H335" s="194">
        <f>SUM(H337)</f>
        <v>15943</v>
      </c>
      <c r="I335" s="195"/>
      <c r="J335" s="194">
        <f>SUM(J337)</f>
        <v>5000</v>
      </c>
      <c r="K335" s="194">
        <f>SUM(K337)</f>
        <v>5000</v>
      </c>
      <c r="L335" s="194">
        <f>SUM(L337)</f>
        <v>20154.5</v>
      </c>
      <c r="M335" s="194">
        <f>SUM(M337)</f>
        <v>788.5</v>
      </c>
      <c r="N335" s="194">
        <f>SUM(N337)</f>
        <v>20943</v>
      </c>
      <c r="O335" s="178"/>
      <c r="P335" s="92"/>
    </row>
    <row r="336" spans="1:16" ht="47.25" x14ac:dyDescent="0.2">
      <c r="A336" s="42"/>
      <c r="B336" s="168" t="s">
        <v>350</v>
      </c>
      <c r="C336" s="169" t="s">
        <v>351</v>
      </c>
      <c r="D336" s="170"/>
      <c r="E336" s="171"/>
      <c r="F336" s="172">
        <f>SUM(F337)</f>
        <v>20154.5</v>
      </c>
      <c r="G336" s="172">
        <f>SUM(G337)</f>
        <v>-4211.5</v>
      </c>
      <c r="H336" s="172">
        <f>SUM(H337)</f>
        <v>15943</v>
      </c>
      <c r="I336" s="188"/>
      <c r="J336" s="189">
        <v>5000</v>
      </c>
      <c r="K336" s="189">
        <v>5000</v>
      </c>
      <c r="L336" s="172">
        <f>SUM(L337)</f>
        <v>20154.5</v>
      </c>
      <c r="M336" s="172">
        <f>SUM(M337)</f>
        <v>788.5</v>
      </c>
      <c r="N336" s="172">
        <f>SUM(N337)</f>
        <v>20943</v>
      </c>
      <c r="O336" s="178"/>
      <c r="P336" s="92"/>
    </row>
    <row r="337" spans="1:17" ht="18.75" x14ac:dyDescent="0.2">
      <c r="A337" s="42"/>
      <c r="B337" s="168" t="s">
        <v>348</v>
      </c>
      <c r="C337" s="169" t="s">
        <v>352</v>
      </c>
      <c r="D337" s="170"/>
      <c r="E337" s="171"/>
      <c r="F337" s="172">
        <f>F338+F339</f>
        <v>20154.5</v>
      </c>
      <c r="G337" s="172">
        <f>G338+G339</f>
        <v>-4211.5</v>
      </c>
      <c r="H337" s="172">
        <f>H338+H339</f>
        <v>15943</v>
      </c>
      <c r="I337" s="188"/>
      <c r="J337" s="189">
        <v>5000</v>
      </c>
      <c r="K337" s="189">
        <v>5000</v>
      </c>
      <c r="L337" s="172">
        <f t="shared" ref="L337:L338" si="75">SUM(F337)</f>
        <v>20154.5</v>
      </c>
      <c r="M337" s="172">
        <f>SUM(G337)+J337</f>
        <v>788.5</v>
      </c>
      <c r="N337" s="172">
        <f>SUM(H337)+K337</f>
        <v>20943</v>
      </c>
      <c r="O337" s="178"/>
      <c r="P337" s="92"/>
    </row>
    <row r="338" spans="1:17" ht="31.5" x14ac:dyDescent="0.2">
      <c r="A338" s="42"/>
      <c r="B338" s="168" t="s">
        <v>35</v>
      </c>
      <c r="C338" s="169" t="s">
        <v>352</v>
      </c>
      <c r="D338" s="170" t="s">
        <v>36</v>
      </c>
      <c r="E338" s="171"/>
      <c r="F338" s="172">
        <v>18340.5</v>
      </c>
      <c r="G338" s="172">
        <f>-5000+788.5</f>
        <v>-4211.5</v>
      </c>
      <c r="H338" s="172">
        <f>SUM(F338:G338)</f>
        <v>14129</v>
      </c>
      <c r="I338" s="188"/>
      <c r="J338" s="189">
        <v>5000</v>
      </c>
      <c r="K338" s="188">
        <f>SUM(J338)</f>
        <v>5000</v>
      </c>
      <c r="L338" s="172">
        <f t="shared" si="75"/>
        <v>18340.5</v>
      </c>
      <c r="M338" s="172">
        <f>SUM(G338)+J338</f>
        <v>788.5</v>
      </c>
      <c r="N338" s="172">
        <f>SUM(H338)+K338</f>
        <v>19129</v>
      </c>
      <c r="O338" s="178"/>
      <c r="P338" s="92"/>
    </row>
    <row r="339" spans="1:17" ht="31.5" x14ac:dyDescent="0.2">
      <c r="A339" s="42"/>
      <c r="B339" s="168" t="s">
        <v>131</v>
      </c>
      <c r="C339" s="169" t="s">
        <v>352</v>
      </c>
      <c r="D339" s="170" t="s">
        <v>132</v>
      </c>
      <c r="E339" s="171"/>
      <c r="F339" s="172">
        <v>1814</v>
      </c>
      <c r="G339" s="172"/>
      <c r="H339" s="172">
        <v>1814</v>
      </c>
      <c r="I339" s="188"/>
      <c r="J339" s="189"/>
      <c r="K339" s="188"/>
      <c r="L339" s="172">
        <f>SUM(F339)</f>
        <v>1814</v>
      </c>
      <c r="M339" s="172">
        <f>SUM(G339)</f>
        <v>0</v>
      </c>
      <c r="N339" s="172">
        <f>SUM(H339)</f>
        <v>1814</v>
      </c>
      <c r="O339" s="178"/>
      <c r="P339" s="92"/>
    </row>
    <row r="340" spans="1:17" ht="31.5" x14ac:dyDescent="0.2">
      <c r="A340" s="19" t="s">
        <v>353</v>
      </c>
      <c r="B340" s="182" t="s">
        <v>354</v>
      </c>
      <c r="C340" s="183" t="s">
        <v>355</v>
      </c>
      <c r="D340" s="184" t="s">
        <v>26</v>
      </c>
      <c r="E340" s="185"/>
      <c r="F340" s="186">
        <f t="shared" ref="F340:N340" si="76">F341+F354+F360</f>
        <v>67636</v>
      </c>
      <c r="G340" s="186">
        <f t="shared" si="76"/>
        <v>11187.3</v>
      </c>
      <c r="H340" s="186">
        <f t="shared" si="76"/>
        <v>78823.3</v>
      </c>
      <c r="I340" s="187">
        <f t="shared" si="76"/>
        <v>0</v>
      </c>
      <c r="J340" s="186">
        <f t="shared" si="76"/>
        <v>0</v>
      </c>
      <c r="K340" s="187">
        <f t="shared" si="76"/>
        <v>0</v>
      </c>
      <c r="L340" s="186">
        <f t="shared" si="76"/>
        <v>67636</v>
      </c>
      <c r="M340" s="186">
        <f t="shared" si="76"/>
        <v>11187.3</v>
      </c>
      <c r="N340" s="186">
        <f t="shared" si="76"/>
        <v>78823.3</v>
      </c>
      <c r="O340" s="178"/>
      <c r="P340" s="92"/>
      <c r="Q340" s="25"/>
    </row>
    <row r="341" spans="1:17" ht="18.75" x14ac:dyDescent="0.2">
      <c r="A341" s="49"/>
      <c r="B341" s="190" t="s">
        <v>356</v>
      </c>
      <c r="C341" s="191" t="s">
        <v>357</v>
      </c>
      <c r="D341" s="192" t="s">
        <v>26</v>
      </c>
      <c r="E341" s="193"/>
      <c r="F341" s="194">
        <f t="shared" ref="F341:N341" si="77">F342+F347</f>
        <v>50937.4</v>
      </c>
      <c r="G341" s="194">
        <f t="shared" si="77"/>
        <v>2877.2999999999997</v>
      </c>
      <c r="H341" s="194">
        <f t="shared" si="77"/>
        <v>53814.700000000004</v>
      </c>
      <c r="I341" s="195">
        <f t="shared" si="77"/>
        <v>0</v>
      </c>
      <c r="J341" s="194">
        <f t="shared" si="77"/>
        <v>0</v>
      </c>
      <c r="K341" s="195">
        <f t="shared" si="77"/>
        <v>0</v>
      </c>
      <c r="L341" s="194">
        <f t="shared" si="77"/>
        <v>50937.4</v>
      </c>
      <c r="M341" s="194">
        <f t="shared" si="77"/>
        <v>2877.2999999999997</v>
      </c>
      <c r="N341" s="194">
        <f t="shared" si="77"/>
        <v>53814.700000000004</v>
      </c>
      <c r="O341" s="178"/>
      <c r="P341" s="92"/>
      <c r="Q341" s="55"/>
    </row>
    <row r="342" spans="1:17" ht="18.75" x14ac:dyDescent="0.2">
      <c r="A342" s="42"/>
      <c r="B342" s="168" t="s">
        <v>358</v>
      </c>
      <c r="C342" s="169" t="s">
        <v>359</v>
      </c>
      <c r="D342" s="170" t="s">
        <v>26</v>
      </c>
      <c r="E342" s="171"/>
      <c r="F342" s="172">
        <f>F343</f>
        <v>38315</v>
      </c>
      <c r="G342" s="172">
        <f>G343</f>
        <v>2337.2999999999997</v>
      </c>
      <c r="H342" s="172">
        <f>H343</f>
        <v>40652.300000000003</v>
      </c>
      <c r="I342" s="188">
        <f>I343</f>
        <v>0</v>
      </c>
      <c r="J342" s="189"/>
      <c r="K342" s="188">
        <f>K343</f>
        <v>0</v>
      </c>
      <c r="L342" s="172">
        <f>L343</f>
        <v>38315</v>
      </c>
      <c r="M342" s="172">
        <f>M343</f>
        <v>2337.2999999999997</v>
      </c>
      <c r="N342" s="172">
        <f>N343</f>
        <v>40652.300000000003</v>
      </c>
      <c r="O342" s="178"/>
      <c r="P342" s="92"/>
    </row>
    <row r="343" spans="1:17" ht="31.5" x14ac:dyDescent="0.2">
      <c r="A343" s="42"/>
      <c r="B343" s="168" t="s">
        <v>39</v>
      </c>
      <c r="C343" s="169" t="s">
        <v>360</v>
      </c>
      <c r="D343" s="170" t="s">
        <v>26</v>
      </c>
      <c r="E343" s="171"/>
      <c r="F343" s="172">
        <f>F344+F345+F346</f>
        <v>38315</v>
      </c>
      <c r="G343" s="172">
        <f>G344+G345</f>
        <v>2337.2999999999997</v>
      </c>
      <c r="H343" s="172">
        <f>H344+H345+H346</f>
        <v>40652.300000000003</v>
      </c>
      <c r="I343" s="188">
        <f>I344+I345+I346</f>
        <v>0</v>
      </c>
      <c r="J343" s="189"/>
      <c r="K343" s="188">
        <f>K344+K345+K346</f>
        <v>0</v>
      </c>
      <c r="L343" s="172">
        <f>L344+L345+L346</f>
        <v>38315</v>
      </c>
      <c r="M343" s="172">
        <f>M344+M345+M346</f>
        <v>2337.2999999999997</v>
      </c>
      <c r="N343" s="172">
        <f>N344+N345+N346</f>
        <v>40652.300000000003</v>
      </c>
      <c r="O343" s="178"/>
      <c r="P343" s="92"/>
    </row>
    <row r="344" spans="1:17" ht="64.150000000000006" customHeight="1" x14ac:dyDescent="0.2">
      <c r="A344" s="42"/>
      <c r="B344" s="168" t="s">
        <v>31</v>
      </c>
      <c r="C344" s="169" t="s">
        <v>360</v>
      </c>
      <c r="D344" s="170" t="s">
        <v>32</v>
      </c>
      <c r="E344" s="171"/>
      <c r="F344" s="172">
        <v>26975.3</v>
      </c>
      <c r="G344" s="172">
        <f>241.2+50</f>
        <v>291.2</v>
      </c>
      <c r="H344" s="172">
        <f>SUM(F344)+G344</f>
        <v>27266.5</v>
      </c>
      <c r="I344" s="188">
        <v>0</v>
      </c>
      <c r="J344" s="189"/>
      <c r="K344" s="188">
        <v>0</v>
      </c>
      <c r="L344" s="172">
        <f t="shared" ref="L344:N345" si="78">SUM(F344)</f>
        <v>26975.3</v>
      </c>
      <c r="M344" s="254">
        <f t="shared" si="78"/>
        <v>291.2</v>
      </c>
      <c r="N344" s="172">
        <f t="shared" si="78"/>
        <v>27266.5</v>
      </c>
      <c r="O344" s="178"/>
      <c r="P344" s="92"/>
    </row>
    <row r="345" spans="1:17" ht="31.5" x14ac:dyDescent="0.2">
      <c r="A345" s="42"/>
      <c r="B345" s="168" t="s">
        <v>35</v>
      </c>
      <c r="C345" s="169" t="s">
        <v>360</v>
      </c>
      <c r="D345" s="170" t="s">
        <v>36</v>
      </c>
      <c r="E345" s="171"/>
      <c r="F345" s="172">
        <v>11262.3</v>
      </c>
      <c r="G345" s="172">
        <f>1051.1+400+645-50</f>
        <v>2046.1</v>
      </c>
      <c r="H345" s="172">
        <f>SUM(F345)+G345</f>
        <v>13308.4</v>
      </c>
      <c r="I345" s="188">
        <v>0</v>
      </c>
      <c r="J345" s="189"/>
      <c r="K345" s="188">
        <v>0</v>
      </c>
      <c r="L345" s="172">
        <f t="shared" si="78"/>
        <v>11262.3</v>
      </c>
      <c r="M345" s="254">
        <f>SUM(G345)</f>
        <v>2046.1</v>
      </c>
      <c r="N345" s="172">
        <f t="shared" si="78"/>
        <v>13308.4</v>
      </c>
      <c r="O345" s="178"/>
      <c r="P345" s="92"/>
    </row>
    <row r="346" spans="1:17" ht="18.75" x14ac:dyDescent="0.2">
      <c r="A346" s="42"/>
      <c r="B346" s="168" t="s">
        <v>41</v>
      </c>
      <c r="C346" s="169" t="s">
        <v>360</v>
      </c>
      <c r="D346" s="170" t="s">
        <v>42</v>
      </c>
      <c r="E346" s="171"/>
      <c r="F346" s="172">
        <v>77.400000000000006</v>
      </c>
      <c r="G346" s="172"/>
      <c r="H346" s="172">
        <v>77.400000000000006</v>
      </c>
      <c r="I346" s="188">
        <v>0</v>
      </c>
      <c r="J346" s="189"/>
      <c r="K346" s="188">
        <v>0</v>
      </c>
      <c r="L346" s="172">
        <v>77.400000000000006</v>
      </c>
      <c r="M346" s="172"/>
      <c r="N346" s="172">
        <v>77.400000000000006</v>
      </c>
      <c r="O346" s="178"/>
      <c r="P346" s="92"/>
    </row>
    <row r="347" spans="1:17" ht="31.5" x14ac:dyDescent="0.2">
      <c r="A347" s="42"/>
      <c r="B347" s="168" t="s">
        <v>361</v>
      </c>
      <c r="C347" s="169" t="s">
        <v>362</v>
      </c>
      <c r="D347" s="170" t="s">
        <v>26</v>
      </c>
      <c r="E347" s="171"/>
      <c r="F347" s="172">
        <f>F348+F351</f>
        <v>12622.4</v>
      </c>
      <c r="G347" s="172">
        <f>G348+G351</f>
        <v>540</v>
      </c>
      <c r="H347" s="172">
        <f>H348+H351</f>
        <v>13162.4</v>
      </c>
      <c r="I347" s="188">
        <f>I348+I351</f>
        <v>0</v>
      </c>
      <c r="J347" s="189"/>
      <c r="K347" s="188">
        <f>K348+K351</f>
        <v>0</v>
      </c>
      <c r="L347" s="172">
        <f>L348+L351</f>
        <v>12622.4</v>
      </c>
      <c r="M347" s="172">
        <f>M348+M351</f>
        <v>540</v>
      </c>
      <c r="N347" s="172">
        <f>N348+N351</f>
        <v>13162.4</v>
      </c>
      <c r="O347" s="178"/>
      <c r="P347" s="92"/>
    </row>
    <row r="348" spans="1:17" ht="31.5" x14ac:dyDescent="0.2">
      <c r="A348" s="42"/>
      <c r="B348" s="168" t="s">
        <v>39</v>
      </c>
      <c r="C348" s="169" t="s">
        <v>363</v>
      </c>
      <c r="D348" s="170" t="s">
        <v>26</v>
      </c>
      <c r="E348" s="171"/>
      <c r="F348" s="172">
        <f>F349+F350</f>
        <v>10245</v>
      </c>
      <c r="G348" s="172">
        <f>G349+G350</f>
        <v>0</v>
      </c>
      <c r="H348" s="172">
        <f>H349+H350</f>
        <v>10245</v>
      </c>
      <c r="I348" s="188">
        <f>I349+I350</f>
        <v>0</v>
      </c>
      <c r="J348" s="189"/>
      <c r="K348" s="188">
        <f>K349+K350</f>
        <v>0</v>
      </c>
      <c r="L348" s="172">
        <f>L349+L350</f>
        <v>10245</v>
      </c>
      <c r="M348" s="172">
        <f>M349+M350</f>
        <v>0</v>
      </c>
      <c r="N348" s="172">
        <f>N349+N350</f>
        <v>10245</v>
      </c>
      <c r="O348" s="178"/>
      <c r="P348" s="92"/>
    </row>
    <row r="349" spans="1:17" ht="64.150000000000006" customHeight="1" x14ac:dyDescent="0.2">
      <c r="A349" s="42"/>
      <c r="B349" s="168" t="s">
        <v>31</v>
      </c>
      <c r="C349" s="169" t="s">
        <v>363</v>
      </c>
      <c r="D349" s="170" t="s">
        <v>32</v>
      </c>
      <c r="E349" s="171"/>
      <c r="F349" s="172">
        <v>9545</v>
      </c>
      <c r="G349" s="172"/>
      <c r="H349" s="172">
        <f>SUM(F349)</f>
        <v>9545</v>
      </c>
      <c r="I349" s="188">
        <v>0</v>
      </c>
      <c r="J349" s="189"/>
      <c r="K349" s="188">
        <v>0</v>
      </c>
      <c r="L349" s="172">
        <f>SUM(F349)</f>
        <v>9545</v>
      </c>
      <c r="M349" s="172">
        <f>SUM(G349)</f>
        <v>0</v>
      </c>
      <c r="N349" s="172">
        <f>SUM(H349)</f>
        <v>9545</v>
      </c>
      <c r="O349" s="178"/>
      <c r="P349" s="92"/>
    </row>
    <row r="350" spans="1:17" ht="31.5" x14ac:dyDescent="0.2">
      <c r="A350" s="42"/>
      <c r="B350" s="168" t="s">
        <v>35</v>
      </c>
      <c r="C350" s="169" t="s">
        <v>363</v>
      </c>
      <c r="D350" s="170" t="s">
        <v>36</v>
      </c>
      <c r="E350" s="171"/>
      <c r="F350" s="172">
        <v>700</v>
      </c>
      <c r="G350" s="172"/>
      <c r="H350" s="172">
        <v>700</v>
      </c>
      <c r="I350" s="188">
        <v>0</v>
      </c>
      <c r="J350" s="189"/>
      <c r="K350" s="188">
        <v>0</v>
      </c>
      <c r="L350" s="172">
        <v>700</v>
      </c>
      <c r="M350" s="172"/>
      <c r="N350" s="172">
        <v>700</v>
      </c>
      <c r="O350" s="178"/>
      <c r="P350" s="92"/>
    </row>
    <row r="351" spans="1:17" ht="31.5" x14ac:dyDescent="0.2">
      <c r="A351" s="42"/>
      <c r="B351" s="168" t="s">
        <v>364</v>
      </c>
      <c r="C351" s="169" t="s">
        <v>365</v>
      </c>
      <c r="D351" s="170" t="s">
        <v>26</v>
      </c>
      <c r="E351" s="171"/>
      <c r="F351" s="172">
        <f>F352+F353</f>
        <v>2377.4</v>
      </c>
      <c r="G351" s="172">
        <f>SUM(G352)+G353</f>
        <v>540</v>
      </c>
      <c r="H351" s="172">
        <f>H352+H353</f>
        <v>2917.4</v>
      </c>
      <c r="I351" s="188">
        <f>I352+I353</f>
        <v>0</v>
      </c>
      <c r="J351" s="189"/>
      <c r="K351" s="188">
        <f>K352+K353</f>
        <v>0</v>
      </c>
      <c r="L351" s="172">
        <f>SUM(F351)</f>
        <v>2377.4</v>
      </c>
      <c r="M351" s="172">
        <f>SUM(M352)+M353</f>
        <v>540</v>
      </c>
      <c r="N351" s="172">
        <f>M351+L351</f>
        <v>2917.4</v>
      </c>
      <c r="O351" s="178"/>
      <c r="P351" s="92"/>
    </row>
    <row r="352" spans="1:17" ht="31.5" x14ac:dyDescent="0.2">
      <c r="A352" s="42"/>
      <c r="B352" s="168" t="s">
        <v>35</v>
      </c>
      <c r="C352" s="169" t="s">
        <v>365</v>
      </c>
      <c r="D352" s="170" t="s">
        <v>36</v>
      </c>
      <c r="E352" s="171"/>
      <c r="F352" s="172">
        <v>1403</v>
      </c>
      <c r="G352" s="172">
        <f>50+20+340+130</f>
        <v>540</v>
      </c>
      <c r="H352" s="172">
        <f>1403+G352</f>
        <v>1943</v>
      </c>
      <c r="I352" s="188">
        <v>0</v>
      </c>
      <c r="J352" s="189"/>
      <c r="K352" s="188">
        <v>0</v>
      </c>
      <c r="L352" s="172">
        <v>1403</v>
      </c>
      <c r="M352" s="172">
        <f>SUM(G352)</f>
        <v>540</v>
      </c>
      <c r="N352" s="172">
        <f>1403+M352</f>
        <v>1943</v>
      </c>
      <c r="O352" s="178"/>
      <c r="P352" s="92"/>
    </row>
    <row r="353" spans="1:16" ht="18.75" x14ac:dyDescent="0.2">
      <c r="A353" s="42"/>
      <c r="B353" s="168" t="s">
        <v>41</v>
      </c>
      <c r="C353" s="169" t="s">
        <v>365</v>
      </c>
      <c r="D353" s="170" t="s">
        <v>42</v>
      </c>
      <c r="E353" s="171"/>
      <c r="F353" s="172">
        <v>974.4</v>
      </c>
      <c r="G353" s="172"/>
      <c r="H353" s="172">
        <v>974.4</v>
      </c>
      <c r="I353" s="188">
        <v>0</v>
      </c>
      <c r="J353" s="189"/>
      <c r="K353" s="188">
        <v>0</v>
      </c>
      <c r="L353" s="172">
        <f>SUM(F353)</f>
        <v>974.4</v>
      </c>
      <c r="M353" s="172">
        <f>SUM(G353)</f>
        <v>0</v>
      </c>
      <c r="N353" s="172">
        <f>SUM(L353:M353)</f>
        <v>974.4</v>
      </c>
      <c r="O353" s="178"/>
      <c r="P353" s="92"/>
    </row>
    <row r="354" spans="1:16" ht="18.75" x14ac:dyDescent="0.2">
      <c r="A354" s="49"/>
      <c r="B354" s="190" t="s">
        <v>366</v>
      </c>
      <c r="C354" s="191" t="s">
        <v>367</v>
      </c>
      <c r="D354" s="192" t="s">
        <v>26</v>
      </c>
      <c r="E354" s="193"/>
      <c r="F354" s="194">
        <f t="shared" ref="F354:N354" si="79">F355</f>
        <v>210.5</v>
      </c>
      <c r="G354" s="194">
        <f t="shared" si="79"/>
        <v>0</v>
      </c>
      <c r="H354" s="194">
        <f t="shared" si="79"/>
        <v>210.5</v>
      </c>
      <c r="I354" s="195">
        <f t="shared" si="79"/>
        <v>0</v>
      </c>
      <c r="J354" s="194">
        <f t="shared" si="79"/>
        <v>0</v>
      </c>
      <c r="K354" s="195">
        <f t="shared" si="79"/>
        <v>0</v>
      </c>
      <c r="L354" s="194">
        <f t="shared" si="79"/>
        <v>210.5</v>
      </c>
      <c r="M354" s="194">
        <f t="shared" si="79"/>
        <v>0</v>
      </c>
      <c r="N354" s="194">
        <f t="shared" si="79"/>
        <v>210.5</v>
      </c>
      <c r="O354" s="178"/>
      <c r="P354" s="92"/>
    </row>
    <row r="355" spans="1:16" ht="39" customHeight="1" x14ac:dyDescent="0.2">
      <c r="A355" s="42"/>
      <c r="B355" s="168" t="s">
        <v>368</v>
      </c>
      <c r="C355" s="169" t="s">
        <v>369</v>
      </c>
      <c r="D355" s="170" t="s">
        <v>26</v>
      </c>
      <c r="E355" s="171"/>
      <c r="F355" s="172">
        <f>F356+F358</f>
        <v>210.5</v>
      </c>
      <c r="G355" s="172">
        <f>G356+G358</f>
        <v>0</v>
      </c>
      <c r="H355" s="172">
        <f>H356+H358</f>
        <v>210.5</v>
      </c>
      <c r="I355" s="188">
        <f>I356+I358</f>
        <v>0</v>
      </c>
      <c r="J355" s="189"/>
      <c r="K355" s="188">
        <f>K356+K358</f>
        <v>0</v>
      </c>
      <c r="L355" s="172">
        <f>L356+L358</f>
        <v>210.5</v>
      </c>
      <c r="M355" s="172">
        <f>M356+M358</f>
        <v>0</v>
      </c>
      <c r="N355" s="172">
        <f>N356+N358</f>
        <v>210.5</v>
      </c>
      <c r="O355" s="178"/>
      <c r="P355" s="92"/>
    </row>
    <row r="356" spans="1:16" ht="18.75" x14ac:dyDescent="0.2">
      <c r="A356" s="42"/>
      <c r="B356" s="168" t="s">
        <v>370</v>
      </c>
      <c r="C356" s="169" t="s">
        <v>371</v>
      </c>
      <c r="D356" s="170" t="s">
        <v>26</v>
      </c>
      <c r="E356" s="171"/>
      <c r="F356" s="172">
        <f>F357</f>
        <v>10.5</v>
      </c>
      <c r="G356" s="172">
        <f>G357</f>
        <v>0</v>
      </c>
      <c r="H356" s="172">
        <f>H357</f>
        <v>10.5</v>
      </c>
      <c r="I356" s="188">
        <f>I357</f>
        <v>0</v>
      </c>
      <c r="J356" s="189"/>
      <c r="K356" s="188">
        <f>K357</f>
        <v>0</v>
      </c>
      <c r="L356" s="172">
        <f>L357</f>
        <v>10.5</v>
      </c>
      <c r="M356" s="172">
        <f>M357</f>
        <v>0</v>
      </c>
      <c r="N356" s="172">
        <f>N357</f>
        <v>10.5</v>
      </c>
      <c r="O356" s="178"/>
      <c r="P356" s="92"/>
    </row>
    <row r="357" spans="1:16" ht="22.15" customHeight="1" x14ac:dyDescent="0.2">
      <c r="A357" s="42"/>
      <c r="B357" s="168" t="s">
        <v>372</v>
      </c>
      <c r="C357" s="169" t="s">
        <v>371</v>
      </c>
      <c r="D357" s="170" t="s">
        <v>373</v>
      </c>
      <c r="E357" s="171"/>
      <c r="F357" s="172">
        <v>10.5</v>
      </c>
      <c r="G357" s="172"/>
      <c r="H357" s="172">
        <f>10.5+G357</f>
        <v>10.5</v>
      </c>
      <c r="I357" s="188">
        <v>0</v>
      </c>
      <c r="J357" s="189"/>
      <c r="K357" s="188">
        <v>0</v>
      </c>
      <c r="L357" s="172">
        <f>SUM(F357)</f>
        <v>10.5</v>
      </c>
      <c r="M357" s="172">
        <f>SUM(G357)</f>
        <v>0</v>
      </c>
      <c r="N357" s="172">
        <f>SUM(H357)</f>
        <v>10.5</v>
      </c>
      <c r="O357" s="178"/>
      <c r="P357" s="92"/>
    </row>
    <row r="358" spans="1:16" ht="31.5" x14ac:dyDescent="0.2">
      <c r="A358" s="42"/>
      <c r="B358" s="168" t="s">
        <v>374</v>
      </c>
      <c r="C358" s="169" t="s">
        <v>375</v>
      </c>
      <c r="D358" s="170" t="s">
        <v>26</v>
      </c>
      <c r="E358" s="171"/>
      <c r="F358" s="172">
        <f>F359</f>
        <v>200</v>
      </c>
      <c r="G358" s="172">
        <f>G359</f>
        <v>0</v>
      </c>
      <c r="H358" s="172">
        <f>H359</f>
        <v>200</v>
      </c>
      <c r="I358" s="188">
        <f>I359</f>
        <v>0</v>
      </c>
      <c r="J358" s="189"/>
      <c r="K358" s="188">
        <f>K359</f>
        <v>0</v>
      </c>
      <c r="L358" s="172">
        <f>L359</f>
        <v>200</v>
      </c>
      <c r="M358" s="172">
        <f>M359</f>
        <v>0</v>
      </c>
      <c r="N358" s="172">
        <f>N359</f>
        <v>200</v>
      </c>
      <c r="O358" s="178"/>
      <c r="P358" s="92"/>
    </row>
    <row r="359" spans="1:16" ht="31.5" x14ac:dyDescent="0.2">
      <c r="A359" s="42"/>
      <c r="B359" s="168" t="s">
        <v>35</v>
      </c>
      <c r="C359" s="169" t="s">
        <v>375</v>
      </c>
      <c r="D359" s="170" t="s">
        <v>36</v>
      </c>
      <c r="E359" s="171"/>
      <c r="F359" s="172">
        <v>200</v>
      </c>
      <c r="G359" s="172"/>
      <c r="H359" s="172">
        <f>200+G359</f>
        <v>200</v>
      </c>
      <c r="I359" s="188">
        <v>0</v>
      </c>
      <c r="J359" s="189"/>
      <c r="K359" s="188">
        <v>0</v>
      </c>
      <c r="L359" s="172">
        <v>200</v>
      </c>
      <c r="M359" s="172">
        <f>SUM(G359)</f>
        <v>0</v>
      </c>
      <c r="N359" s="172">
        <f>200+M359</f>
        <v>200</v>
      </c>
      <c r="O359" s="178"/>
      <c r="P359" s="92"/>
    </row>
    <row r="360" spans="1:16" ht="31.5" x14ac:dyDescent="0.2">
      <c r="A360" s="49"/>
      <c r="B360" s="190" t="s">
        <v>376</v>
      </c>
      <c r="C360" s="191" t="s">
        <v>377</v>
      </c>
      <c r="D360" s="192" t="s">
        <v>26</v>
      </c>
      <c r="E360" s="193"/>
      <c r="F360" s="194">
        <f t="shared" ref="F360:L360" si="80">F361+F365+F368</f>
        <v>16488.100000000002</v>
      </c>
      <c r="G360" s="194">
        <f>G361+G365+G368+G372</f>
        <v>8310</v>
      </c>
      <c r="H360" s="194">
        <f>H361+H365+H368+H372</f>
        <v>24798.100000000002</v>
      </c>
      <c r="I360" s="195">
        <f t="shared" si="80"/>
        <v>0</v>
      </c>
      <c r="J360" s="194">
        <f t="shared" si="80"/>
        <v>0</v>
      </c>
      <c r="K360" s="195">
        <f t="shared" si="80"/>
        <v>0</v>
      </c>
      <c r="L360" s="194">
        <f t="shared" si="80"/>
        <v>16488.100000000002</v>
      </c>
      <c r="M360" s="194">
        <f>M361+M365+M368+M372</f>
        <v>8310</v>
      </c>
      <c r="N360" s="194">
        <f>N361+N365+N368+N372</f>
        <v>24798.100000000002</v>
      </c>
      <c r="O360" s="178"/>
      <c r="P360" s="92"/>
    </row>
    <row r="361" spans="1:16" ht="37.9" customHeight="1" x14ac:dyDescent="0.2">
      <c r="A361" s="42"/>
      <c r="B361" s="168" t="s">
        <v>378</v>
      </c>
      <c r="C361" s="169" t="s">
        <v>379</v>
      </c>
      <c r="D361" s="170" t="s">
        <v>26</v>
      </c>
      <c r="E361" s="171"/>
      <c r="F361" s="172">
        <f>F362</f>
        <v>3784.2</v>
      </c>
      <c r="G361" s="172">
        <f>G362</f>
        <v>0</v>
      </c>
      <c r="H361" s="172">
        <f>H362</f>
        <v>3784.2</v>
      </c>
      <c r="I361" s="188">
        <f>I362</f>
        <v>0</v>
      </c>
      <c r="J361" s="189"/>
      <c r="K361" s="188">
        <f>K362</f>
        <v>0</v>
      </c>
      <c r="L361" s="172">
        <f>L362</f>
        <v>3784.2</v>
      </c>
      <c r="M361" s="172">
        <f>M362</f>
        <v>0</v>
      </c>
      <c r="N361" s="172">
        <f>N362</f>
        <v>3784.2</v>
      </c>
      <c r="O361" s="178"/>
      <c r="P361" s="92"/>
    </row>
    <row r="362" spans="1:16" ht="31.5" x14ac:dyDescent="0.2">
      <c r="A362" s="42"/>
      <c r="B362" s="168" t="s">
        <v>93</v>
      </c>
      <c r="C362" s="169" t="s">
        <v>380</v>
      </c>
      <c r="D362" s="170" t="s">
        <v>26</v>
      </c>
      <c r="E362" s="171"/>
      <c r="F362" s="172">
        <f>F363+F364</f>
        <v>3784.2</v>
      </c>
      <c r="G362" s="172">
        <f>G363+G364</f>
        <v>0</v>
      </c>
      <c r="H362" s="172">
        <f>H363+H364</f>
        <v>3784.2</v>
      </c>
      <c r="I362" s="188">
        <f>I363+I364</f>
        <v>0</v>
      </c>
      <c r="J362" s="189"/>
      <c r="K362" s="188">
        <f>K363+K364</f>
        <v>0</v>
      </c>
      <c r="L362" s="172">
        <f>L363+L364</f>
        <v>3784.2</v>
      </c>
      <c r="M362" s="172">
        <f>M363+M364</f>
        <v>0</v>
      </c>
      <c r="N362" s="172">
        <f>N363+N364</f>
        <v>3784.2</v>
      </c>
      <c r="O362" s="178"/>
      <c r="P362" s="92"/>
    </row>
    <row r="363" spans="1:16" ht="64.900000000000006" customHeight="1" x14ac:dyDescent="0.2">
      <c r="A363" s="42"/>
      <c r="B363" s="168" t="s">
        <v>31</v>
      </c>
      <c r="C363" s="169" t="s">
        <v>380</v>
      </c>
      <c r="D363" s="170" t="s">
        <v>32</v>
      </c>
      <c r="E363" s="171"/>
      <c r="F363" s="172">
        <v>3766.6</v>
      </c>
      <c r="G363" s="172"/>
      <c r="H363" s="172">
        <f>SUM(F363)</f>
        <v>3766.6</v>
      </c>
      <c r="I363" s="188">
        <v>0</v>
      </c>
      <c r="J363" s="189"/>
      <c r="K363" s="188">
        <v>0</v>
      </c>
      <c r="L363" s="172">
        <f t="shared" ref="L363:N364" si="81">SUM(F363)</f>
        <v>3766.6</v>
      </c>
      <c r="M363" s="172">
        <f t="shared" si="81"/>
        <v>0</v>
      </c>
      <c r="N363" s="172">
        <f t="shared" si="81"/>
        <v>3766.6</v>
      </c>
      <c r="O363" s="178"/>
      <c r="P363" s="92"/>
    </row>
    <row r="364" spans="1:16" ht="31.5" x14ac:dyDescent="0.2">
      <c r="A364" s="42"/>
      <c r="B364" s="168" t="s">
        <v>35</v>
      </c>
      <c r="C364" s="169" t="s">
        <v>380</v>
      </c>
      <c r="D364" s="170" t="s">
        <v>36</v>
      </c>
      <c r="E364" s="171"/>
      <c r="F364" s="172">
        <v>17.600000000000001</v>
      </c>
      <c r="G364" s="215"/>
      <c r="H364" s="172">
        <f>SUM(F364)</f>
        <v>17.600000000000001</v>
      </c>
      <c r="I364" s="188">
        <v>0</v>
      </c>
      <c r="J364" s="189"/>
      <c r="K364" s="188">
        <v>0</v>
      </c>
      <c r="L364" s="172">
        <f t="shared" si="81"/>
        <v>17.600000000000001</v>
      </c>
      <c r="M364" s="172">
        <f t="shared" si="81"/>
        <v>0</v>
      </c>
      <c r="N364" s="172">
        <f t="shared" si="81"/>
        <v>17.600000000000001</v>
      </c>
      <c r="O364" s="178"/>
      <c r="P364" s="92"/>
    </row>
    <row r="365" spans="1:16" ht="47.25" x14ac:dyDescent="0.2">
      <c r="A365" s="42"/>
      <c r="B365" s="168" t="s">
        <v>381</v>
      </c>
      <c r="C365" s="169" t="s">
        <v>382</v>
      </c>
      <c r="D365" s="170" t="s">
        <v>26</v>
      </c>
      <c r="E365" s="171"/>
      <c r="F365" s="172">
        <f t="shared" ref="F365:N366" si="82">F366</f>
        <v>11636.5</v>
      </c>
      <c r="G365" s="172">
        <f t="shared" si="82"/>
        <v>0</v>
      </c>
      <c r="H365" s="172">
        <f t="shared" si="82"/>
        <v>11636.5</v>
      </c>
      <c r="I365" s="188">
        <f t="shared" si="82"/>
        <v>0</v>
      </c>
      <c r="J365" s="189"/>
      <c r="K365" s="188">
        <f t="shared" si="82"/>
        <v>0</v>
      </c>
      <c r="L365" s="172">
        <f t="shared" si="82"/>
        <v>11636.5</v>
      </c>
      <c r="M365" s="172">
        <f t="shared" si="82"/>
        <v>0</v>
      </c>
      <c r="N365" s="172">
        <f t="shared" si="82"/>
        <v>11636.5</v>
      </c>
      <c r="O365" s="178"/>
      <c r="P365" s="92"/>
    </row>
    <row r="366" spans="1:16" ht="31.5" x14ac:dyDescent="0.2">
      <c r="A366" s="42"/>
      <c r="B366" s="168" t="s">
        <v>39</v>
      </c>
      <c r="C366" s="169" t="s">
        <v>383</v>
      </c>
      <c r="D366" s="170" t="s">
        <v>26</v>
      </c>
      <c r="E366" s="171"/>
      <c r="F366" s="172">
        <f t="shared" si="82"/>
        <v>11636.5</v>
      </c>
      <c r="G366" s="172">
        <f t="shared" si="82"/>
        <v>0</v>
      </c>
      <c r="H366" s="172">
        <f t="shared" si="82"/>
        <v>11636.5</v>
      </c>
      <c r="I366" s="188">
        <f t="shared" si="82"/>
        <v>0</v>
      </c>
      <c r="J366" s="189"/>
      <c r="K366" s="188">
        <f t="shared" si="82"/>
        <v>0</v>
      </c>
      <c r="L366" s="172">
        <f t="shared" si="82"/>
        <v>11636.5</v>
      </c>
      <c r="M366" s="172">
        <f t="shared" si="82"/>
        <v>0</v>
      </c>
      <c r="N366" s="172">
        <f t="shared" si="82"/>
        <v>11636.5</v>
      </c>
      <c r="O366" s="178"/>
      <c r="P366" s="92"/>
    </row>
    <row r="367" spans="1:16" ht="31.5" x14ac:dyDescent="0.2">
      <c r="A367" s="42"/>
      <c r="B367" s="168" t="s">
        <v>74</v>
      </c>
      <c r="C367" s="169" t="s">
        <v>383</v>
      </c>
      <c r="D367" s="170" t="s">
        <v>75</v>
      </c>
      <c r="E367" s="171"/>
      <c r="F367" s="172">
        <v>11636.5</v>
      </c>
      <c r="G367" s="172"/>
      <c r="H367" s="172">
        <f>SUM(F367)</f>
        <v>11636.5</v>
      </c>
      <c r="I367" s="188">
        <v>0</v>
      </c>
      <c r="J367" s="189"/>
      <c r="K367" s="188">
        <v>0</v>
      </c>
      <c r="L367" s="172">
        <f>SUM(F367)</f>
        <v>11636.5</v>
      </c>
      <c r="M367" s="172">
        <f>SUM(G367)</f>
        <v>0</v>
      </c>
      <c r="N367" s="172">
        <f>SUM(L367)</f>
        <v>11636.5</v>
      </c>
      <c r="O367" s="178"/>
      <c r="P367" s="92"/>
    </row>
    <row r="368" spans="1:16" ht="36.6" customHeight="1" x14ac:dyDescent="0.2">
      <c r="A368" s="42"/>
      <c r="B368" s="168" t="s">
        <v>384</v>
      </c>
      <c r="C368" s="169" t="s">
        <v>385</v>
      </c>
      <c r="D368" s="170" t="s">
        <v>26</v>
      </c>
      <c r="E368" s="171"/>
      <c r="F368" s="172">
        <f>F369</f>
        <v>1067.4000000000001</v>
      </c>
      <c r="G368" s="172">
        <f>G369</f>
        <v>450</v>
      </c>
      <c r="H368" s="172">
        <f>H369</f>
        <v>1517.4</v>
      </c>
      <c r="I368" s="188">
        <f>I369</f>
        <v>0</v>
      </c>
      <c r="J368" s="189"/>
      <c r="K368" s="188">
        <f>K369</f>
        <v>0</v>
      </c>
      <c r="L368" s="172">
        <f>L369</f>
        <v>1067.4000000000001</v>
      </c>
      <c r="M368" s="172">
        <f>M369</f>
        <v>450</v>
      </c>
      <c r="N368" s="172">
        <f>N369</f>
        <v>1517.4</v>
      </c>
      <c r="O368" s="178"/>
      <c r="P368" s="92"/>
    </row>
    <row r="369" spans="1:16" ht="36" customHeight="1" x14ac:dyDescent="0.2">
      <c r="A369" s="42"/>
      <c r="B369" s="168" t="s">
        <v>386</v>
      </c>
      <c r="C369" s="169" t="s">
        <v>387</v>
      </c>
      <c r="D369" s="170" t="s">
        <v>26</v>
      </c>
      <c r="E369" s="171"/>
      <c r="F369" s="172">
        <f>F370+F371</f>
        <v>1067.4000000000001</v>
      </c>
      <c r="G369" s="172">
        <f>G370+G371</f>
        <v>450</v>
      </c>
      <c r="H369" s="172">
        <f>H370+H371</f>
        <v>1517.4</v>
      </c>
      <c r="I369" s="188">
        <f>I370+I371</f>
        <v>0</v>
      </c>
      <c r="J369" s="189"/>
      <c r="K369" s="188">
        <f>K370+K371</f>
        <v>0</v>
      </c>
      <c r="L369" s="172">
        <f>L370+L371</f>
        <v>1067.4000000000001</v>
      </c>
      <c r="M369" s="172">
        <f>M370+M371</f>
        <v>450</v>
      </c>
      <c r="N369" s="172">
        <f>SUM(L369)+M369</f>
        <v>1517.4</v>
      </c>
      <c r="O369" s="178"/>
      <c r="P369" s="92"/>
    </row>
    <row r="370" spans="1:16" ht="31.5" x14ac:dyDescent="0.2">
      <c r="A370" s="42"/>
      <c r="B370" s="168" t="s">
        <v>35</v>
      </c>
      <c r="C370" s="169" t="s">
        <v>387</v>
      </c>
      <c r="D370" s="170" t="s">
        <v>36</v>
      </c>
      <c r="E370" s="171"/>
      <c r="F370" s="172">
        <v>1067.4000000000001</v>
      </c>
      <c r="G370" s="172">
        <f>200+250</f>
        <v>450</v>
      </c>
      <c r="H370" s="172">
        <f>SUM(F370)+G370</f>
        <v>1517.4</v>
      </c>
      <c r="I370" s="188">
        <v>0</v>
      </c>
      <c r="J370" s="189"/>
      <c r="K370" s="188">
        <v>0</v>
      </c>
      <c r="L370" s="172">
        <f>SUM(F370)</f>
        <v>1067.4000000000001</v>
      </c>
      <c r="M370" s="172">
        <f>SUM(G370)</f>
        <v>450</v>
      </c>
      <c r="N370" s="172">
        <f>SUM(H370)</f>
        <v>1517.4</v>
      </c>
      <c r="O370" s="178"/>
      <c r="P370" s="92"/>
    </row>
    <row r="371" spans="1:16" ht="18.75" x14ac:dyDescent="0.2">
      <c r="A371" s="42"/>
      <c r="B371" s="168" t="s">
        <v>41</v>
      </c>
      <c r="C371" s="169" t="s">
        <v>387</v>
      </c>
      <c r="D371" s="170" t="s">
        <v>42</v>
      </c>
      <c r="E371" s="171"/>
      <c r="F371" s="172">
        <v>0</v>
      </c>
      <c r="G371" s="172"/>
      <c r="H371" s="172"/>
      <c r="I371" s="188">
        <v>0</v>
      </c>
      <c r="J371" s="189"/>
      <c r="K371" s="188">
        <v>0</v>
      </c>
      <c r="L371" s="172"/>
      <c r="M371" s="172">
        <f>SUM(G371)</f>
        <v>0</v>
      </c>
      <c r="N371" s="172"/>
      <c r="O371" s="178"/>
      <c r="P371" s="92"/>
    </row>
    <row r="372" spans="1:16" ht="0.75" customHeight="1" x14ac:dyDescent="0.2">
      <c r="A372" s="42"/>
      <c r="B372" s="168" t="s">
        <v>490</v>
      </c>
      <c r="C372" s="169" t="s">
        <v>385</v>
      </c>
      <c r="D372" s="170"/>
      <c r="E372" s="171"/>
      <c r="F372" s="172"/>
      <c r="G372" s="172">
        <f>SUM(G374)</f>
        <v>7860</v>
      </c>
      <c r="H372" s="172">
        <f>SUM(G372)</f>
        <v>7860</v>
      </c>
      <c r="I372" s="188"/>
      <c r="J372" s="189"/>
      <c r="K372" s="188"/>
      <c r="L372" s="172"/>
      <c r="M372" s="172">
        <f>SUM(G372)</f>
        <v>7860</v>
      </c>
      <c r="N372" s="172">
        <f>SUM(H372)</f>
        <v>7860</v>
      </c>
      <c r="O372" s="178"/>
      <c r="P372" s="92"/>
    </row>
    <row r="373" spans="1:16" ht="47.25" x14ac:dyDescent="0.2">
      <c r="A373" s="42"/>
      <c r="B373" s="168" t="s">
        <v>492</v>
      </c>
      <c r="C373" s="169" t="s">
        <v>494</v>
      </c>
      <c r="D373" s="170"/>
      <c r="E373" s="171"/>
      <c r="F373" s="172"/>
      <c r="G373" s="172">
        <f>SUM(G374)</f>
        <v>7860</v>
      </c>
      <c r="H373" s="172">
        <f>SUM(G373)</f>
        <v>7860</v>
      </c>
      <c r="I373" s="188"/>
      <c r="J373" s="189"/>
      <c r="K373" s="188"/>
      <c r="L373" s="172"/>
      <c r="M373" s="172">
        <f>SUM(G373)</f>
        <v>7860</v>
      </c>
      <c r="N373" s="172">
        <f>SUM(H373)</f>
        <v>7860</v>
      </c>
      <c r="O373" s="178"/>
      <c r="P373" s="92"/>
    </row>
    <row r="374" spans="1:16" ht="31.5" x14ac:dyDescent="0.2">
      <c r="A374" s="42"/>
      <c r="B374" s="168" t="s">
        <v>131</v>
      </c>
      <c r="C374" s="169" t="s">
        <v>494</v>
      </c>
      <c r="D374" s="170" t="s">
        <v>132</v>
      </c>
      <c r="E374" s="171"/>
      <c r="F374" s="172"/>
      <c r="G374" s="172">
        <v>7860</v>
      </c>
      <c r="H374" s="172">
        <f>SUM(G374)</f>
        <v>7860</v>
      </c>
      <c r="I374" s="188"/>
      <c r="J374" s="189"/>
      <c r="K374" s="188"/>
      <c r="L374" s="172"/>
      <c r="M374" s="172">
        <f>SUM(G374)</f>
        <v>7860</v>
      </c>
      <c r="N374" s="172">
        <f>SUM(H374)</f>
        <v>7860</v>
      </c>
      <c r="O374" s="178"/>
      <c r="P374" s="92"/>
    </row>
    <row r="375" spans="1:16" ht="18.75" x14ac:dyDescent="0.2">
      <c r="A375" s="19" t="s">
        <v>388</v>
      </c>
      <c r="B375" s="182" t="s">
        <v>389</v>
      </c>
      <c r="C375" s="183" t="s">
        <v>390</v>
      </c>
      <c r="D375" s="184" t="s">
        <v>26</v>
      </c>
      <c r="E375" s="185"/>
      <c r="F375" s="186">
        <f t="shared" ref="F375:N377" si="83">F376</f>
        <v>1383.6</v>
      </c>
      <c r="G375" s="186">
        <f t="shared" si="83"/>
        <v>0</v>
      </c>
      <c r="H375" s="186">
        <f t="shared" si="83"/>
        <v>1383.6</v>
      </c>
      <c r="I375" s="187">
        <f t="shared" si="83"/>
        <v>0</v>
      </c>
      <c r="J375" s="186">
        <f>J376</f>
        <v>0</v>
      </c>
      <c r="K375" s="187">
        <f t="shared" si="83"/>
        <v>0</v>
      </c>
      <c r="L375" s="186">
        <f t="shared" si="83"/>
        <v>1383.6</v>
      </c>
      <c r="M375" s="186">
        <f t="shared" si="83"/>
        <v>0</v>
      </c>
      <c r="N375" s="186">
        <f t="shared" si="83"/>
        <v>1383.6</v>
      </c>
      <c r="O375" s="178"/>
      <c r="P375" s="92"/>
    </row>
    <row r="376" spans="1:16" ht="51.6" customHeight="1" x14ac:dyDescent="0.2">
      <c r="A376" s="42"/>
      <c r="B376" s="168" t="s">
        <v>391</v>
      </c>
      <c r="C376" s="169" t="s">
        <v>392</v>
      </c>
      <c r="D376" s="170" t="s">
        <v>26</v>
      </c>
      <c r="E376" s="171"/>
      <c r="F376" s="172">
        <f t="shared" si="83"/>
        <v>1383.6</v>
      </c>
      <c r="G376" s="172">
        <f t="shared" si="83"/>
        <v>0</v>
      </c>
      <c r="H376" s="172">
        <f t="shared" si="83"/>
        <v>1383.6</v>
      </c>
      <c r="I376" s="188">
        <f t="shared" si="83"/>
        <v>0</v>
      </c>
      <c r="J376" s="189"/>
      <c r="K376" s="188">
        <f t="shared" si="83"/>
        <v>0</v>
      </c>
      <c r="L376" s="172">
        <f t="shared" si="83"/>
        <v>1383.6</v>
      </c>
      <c r="M376" s="172">
        <f t="shared" si="83"/>
        <v>0</v>
      </c>
      <c r="N376" s="172">
        <f t="shared" si="83"/>
        <v>1383.6</v>
      </c>
      <c r="O376" s="178"/>
      <c r="P376" s="92"/>
    </row>
    <row r="377" spans="1:16" ht="31.5" x14ac:dyDescent="0.2">
      <c r="A377" s="42"/>
      <c r="B377" s="168" t="s">
        <v>393</v>
      </c>
      <c r="C377" s="169" t="s">
        <v>394</v>
      </c>
      <c r="D377" s="170" t="s">
        <v>26</v>
      </c>
      <c r="E377" s="171"/>
      <c r="F377" s="172">
        <f t="shared" si="83"/>
        <v>1383.6</v>
      </c>
      <c r="G377" s="172">
        <f t="shared" si="83"/>
        <v>0</v>
      </c>
      <c r="H377" s="172">
        <f t="shared" si="83"/>
        <v>1383.6</v>
      </c>
      <c r="I377" s="188">
        <f t="shared" si="83"/>
        <v>0</v>
      </c>
      <c r="J377" s="189"/>
      <c r="K377" s="188">
        <f t="shared" si="83"/>
        <v>0</v>
      </c>
      <c r="L377" s="172">
        <f t="shared" si="83"/>
        <v>1383.6</v>
      </c>
      <c r="M377" s="172">
        <f t="shared" si="83"/>
        <v>0</v>
      </c>
      <c r="N377" s="172">
        <f t="shared" si="83"/>
        <v>1383.6</v>
      </c>
      <c r="O377" s="178"/>
      <c r="P377" s="92"/>
    </row>
    <row r="378" spans="1:16" ht="31.5" x14ac:dyDescent="0.2">
      <c r="A378" s="42"/>
      <c r="B378" s="168" t="s">
        <v>35</v>
      </c>
      <c r="C378" s="169" t="s">
        <v>394</v>
      </c>
      <c r="D378" s="170" t="s">
        <v>36</v>
      </c>
      <c r="E378" s="171"/>
      <c r="F378" s="172">
        <v>1383.6</v>
      </c>
      <c r="G378" s="172"/>
      <c r="H378" s="172">
        <f>SUM(F378)+G378</f>
        <v>1383.6</v>
      </c>
      <c r="I378" s="188">
        <v>0</v>
      </c>
      <c r="J378" s="189"/>
      <c r="K378" s="188">
        <v>0</v>
      </c>
      <c r="L378" s="172">
        <f>SUM(F378)</f>
        <v>1383.6</v>
      </c>
      <c r="M378" s="172">
        <f>SUM(G378)</f>
        <v>0</v>
      </c>
      <c r="N378" s="172">
        <f>SUM(H378)</f>
        <v>1383.6</v>
      </c>
      <c r="O378" s="178"/>
      <c r="P378" s="92"/>
    </row>
    <row r="379" spans="1:16" ht="49.15" customHeight="1" x14ac:dyDescent="0.2">
      <c r="A379" s="19" t="s">
        <v>395</v>
      </c>
      <c r="B379" s="182" t="s">
        <v>396</v>
      </c>
      <c r="C379" s="183" t="s">
        <v>397</v>
      </c>
      <c r="D379" s="184" t="s">
        <v>26</v>
      </c>
      <c r="E379" s="185"/>
      <c r="F379" s="186">
        <f t="shared" ref="F379:N381" si="84">F380</f>
        <v>1120.5999999999999</v>
      </c>
      <c r="G379" s="186">
        <f t="shared" si="84"/>
        <v>29.7</v>
      </c>
      <c r="H379" s="186">
        <f t="shared" si="84"/>
        <v>1150.3</v>
      </c>
      <c r="I379" s="187">
        <f t="shared" si="84"/>
        <v>0</v>
      </c>
      <c r="J379" s="186">
        <f>J380</f>
        <v>0</v>
      </c>
      <c r="K379" s="187">
        <f t="shared" si="84"/>
        <v>0</v>
      </c>
      <c r="L379" s="186">
        <f t="shared" si="84"/>
        <v>1120.5999999999999</v>
      </c>
      <c r="M379" s="186">
        <f t="shared" si="84"/>
        <v>29.7</v>
      </c>
      <c r="N379" s="186">
        <f t="shared" si="84"/>
        <v>1150.3</v>
      </c>
      <c r="O379" s="178"/>
      <c r="P379" s="92"/>
    </row>
    <row r="380" spans="1:16" ht="30.6" customHeight="1" x14ac:dyDescent="0.2">
      <c r="A380" s="42"/>
      <c r="B380" s="168" t="s">
        <v>398</v>
      </c>
      <c r="C380" s="169" t="s">
        <v>399</v>
      </c>
      <c r="D380" s="170" t="s">
        <v>26</v>
      </c>
      <c r="E380" s="171"/>
      <c r="F380" s="172">
        <f>F381+F384</f>
        <v>1120.5999999999999</v>
      </c>
      <c r="G380" s="172">
        <f>G381+G384</f>
        <v>29.7</v>
      </c>
      <c r="H380" s="172">
        <f>H381+H384</f>
        <v>1150.3</v>
      </c>
      <c r="I380" s="188">
        <f t="shared" si="84"/>
        <v>0</v>
      </c>
      <c r="J380" s="189"/>
      <c r="K380" s="188">
        <f t="shared" si="84"/>
        <v>0</v>
      </c>
      <c r="L380" s="172">
        <f>SUM(F380)</f>
        <v>1120.5999999999999</v>
      </c>
      <c r="M380" s="172">
        <f>SUM(G380)</f>
        <v>29.7</v>
      </c>
      <c r="N380" s="172">
        <f>N381+N384</f>
        <v>1150.3</v>
      </c>
      <c r="O380" s="178"/>
      <c r="P380" s="92"/>
    </row>
    <row r="381" spans="1:16" ht="49.15" customHeight="1" x14ac:dyDescent="0.2">
      <c r="A381" s="42"/>
      <c r="B381" s="168" t="s">
        <v>400</v>
      </c>
      <c r="C381" s="169" t="s">
        <v>401</v>
      </c>
      <c r="D381" s="170" t="s">
        <v>26</v>
      </c>
      <c r="E381" s="171"/>
      <c r="F381" s="172">
        <f t="shared" si="84"/>
        <v>355.7</v>
      </c>
      <c r="G381" s="172">
        <f>G382+G383</f>
        <v>29.7</v>
      </c>
      <c r="H381" s="172">
        <f t="shared" si="84"/>
        <v>385.4</v>
      </c>
      <c r="I381" s="188">
        <f t="shared" si="84"/>
        <v>0</v>
      </c>
      <c r="J381" s="189"/>
      <c r="K381" s="188">
        <f t="shared" si="84"/>
        <v>0</v>
      </c>
      <c r="L381" s="172">
        <f t="shared" si="84"/>
        <v>355.7</v>
      </c>
      <c r="M381" s="172">
        <f t="shared" si="84"/>
        <v>29.7</v>
      </c>
      <c r="N381" s="172">
        <f t="shared" si="84"/>
        <v>385.4</v>
      </c>
      <c r="O381" s="178"/>
      <c r="P381" s="92"/>
    </row>
    <row r="382" spans="1:16" ht="31.5" x14ac:dyDescent="0.2">
      <c r="A382" s="57"/>
      <c r="B382" s="216" t="s">
        <v>35</v>
      </c>
      <c r="C382" s="217" t="s">
        <v>401</v>
      </c>
      <c r="D382" s="170" t="s">
        <v>36</v>
      </c>
      <c r="E382" s="171"/>
      <c r="F382" s="172">
        <v>355.7</v>
      </c>
      <c r="G382" s="172">
        <v>29.7</v>
      </c>
      <c r="H382" s="172">
        <f>SUM(F382:G382)</f>
        <v>385.4</v>
      </c>
      <c r="I382" s="188">
        <v>0</v>
      </c>
      <c r="J382" s="189"/>
      <c r="K382" s="188">
        <v>0</v>
      </c>
      <c r="L382" s="172">
        <f t="shared" ref="L382:N385" si="85">SUM(F382)</f>
        <v>355.7</v>
      </c>
      <c r="M382" s="172">
        <f t="shared" si="85"/>
        <v>29.7</v>
      </c>
      <c r="N382" s="172">
        <f t="shared" si="85"/>
        <v>385.4</v>
      </c>
      <c r="O382" s="178"/>
      <c r="P382" s="92"/>
    </row>
    <row r="383" spans="1:16" ht="18.75" x14ac:dyDescent="0.2">
      <c r="A383" s="133"/>
      <c r="B383" s="168" t="s">
        <v>54</v>
      </c>
      <c r="C383" s="217" t="s">
        <v>401</v>
      </c>
      <c r="D383" s="170" t="s">
        <v>55</v>
      </c>
      <c r="E383" s="171"/>
      <c r="F383" s="172">
        <v>200</v>
      </c>
      <c r="G383" s="172"/>
      <c r="H383" s="172">
        <f>SUM(F383)</f>
        <v>200</v>
      </c>
      <c r="I383" s="189"/>
      <c r="J383" s="189"/>
      <c r="K383" s="189"/>
      <c r="L383" s="172">
        <f>SUM(F383)</f>
        <v>200</v>
      </c>
      <c r="M383" s="172">
        <f>SUM(G383)</f>
        <v>0</v>
      </c>
      <c r="N383" s="172">
        <f>SUM(H383)</f>
        <v>200</v>
      </c>
      <c r="O383" s="178"/>
      <c r="P383" s="92"/>
    </row>
    <row r="384" spans="1:16" ht="31.5" x14ac:dyDescent="0.2">
      <c r="A384" s="133"/>
      <c r="B384" s="197" t="s">
        <v>402</v>
      </c>
      <c r="C384" s="169" t="s">
        <v>403</v>
      </c>
      <c r="D384" s="170"/>
      <c r="E384" s="171"/>
      <c r="F384" s="219">
        <v>764.9</v>
      </c>
      <c r="G384" s="172"/>
      <c r="H384" s="172">
        <f>SUM(F384)+G384</f>
        <v>764.9</v>
      </c>
      <c r="I384" s="189"/>
      <c r="J384" s="189"/>
      <c r="K384" s="189"/>
      <c r="L384" s="172">
        <f t="shared" si="85"/>
        <v>764.9</v>
      </c>
      <c r="M384" s="172">
        <f t="shared" si="85"/>
        <v>0</v>
      </c>
      <c r="N384" s="172">
        <f t="shared" si="85"/>
        <v>764.9</v>
      </c>
      <c r="O384" s="178"/>
      <c r="P384" s="92"/>
    </row>
    <row r="385" spans="1:16" ht="32.25" thickBot="1" x14ac:dyDescent="0.25">
      <c r="A385" s="133"/>
      <c r="B385" s="216" t="s">
        <v>35</v>
      </c>
      <c r="C385" s="169" t="s">
        <v>403</v>
      </c>
      <c r="D385" s="218" t="s">
        <v>36</v>
      </c>
      <c r="E385" s="218"/>
      <c r="F385" s="219">
        <v>764.9</v>
      </c>
      <c r="G385" s="219"/>
      <c r="H385" s="219">
        <f>SUM(F385)+G385</f>
        <v>764.9</v>
      </c>
      <c r="I385" s="220"/>
      <c r="J385" s="220"/>
      <c r="K385" s="220"/>
      <c r="L385" s="219">
        <f t="shared" si="85"/>
        <v>764.9</v>
      </c>
      <c r="M385" s="219">
        <f t="shared" si="85"/>
        <v>0</v>
      </c>
      <c r="N385" s="219">
        <f t="shared" si="85"/>
        <v>764.9</v>
      </c>
      <c r="O385" s="178"/>
      <c r="P385" s="92"/>
    </row>
    <row r="386" spans="1:16" ht="16.5" customHeight="1" thickBot="1" x14ac:dyDescent="0.25">
      <c r="A386" s="26" t="s">
        <v>404</v>
      </c>
      <c r="B386" s="447" t="s">
        <v>405</v>
      </c>
      <c r="C386" s="448"/>
      <c r="D386" s="449"/>
      <c r="E386" s="251"/>
      <c r="F386" s="222">
        <f>F387+F391+F397+F413</f>
        <v>45738.5</v>
      </c>
      <c r="G386" s="222">
        <f t="shared" ref="G386:N386" si="86">G387+G391+G397+G413</f>
        <v>418.3</v>
      </c>
      <c r="H386" s="222">
        <f>H387+H391+H397+H413</f>
        <v>46185</v>
      </c>
      <c r="I386" s="223">
        <f t="shared" si="86"/>
        <v>768.1</v>
      </c>
      <c r="J386" s="222">
        <f t="shared" si="86"/>
        <v>0</v>
      </c>
      <c r="K386" s="223">
        <f t="shared" si="86"/>
        <v>768.1</v>
      </c>
      <c r="L386" s="222">
        <f t="shared" si="86"/>
        <v>46506.6</v>
      </c>
      <c r="M386" s="222">
        <f t="shared" si="86"/>
        <v>418.3</v>
      </c>
      <c r="N386" s="222">
        <f t="shared" si="86"/>
        <v>46953.1</v>
      </c>
      <c r="O386" s="178"/>
      <c r="P386" s="92"/>
    </row>
    <row r="387" spans="1:16" ht="31.5" x14ac:dyDescent="0.2">
      <c r="A387" s="16" t="s">
        <v>406</v>
      </c>
      <c r="B387" s="224" t="s">
        <v>407</v>
      </c>
      <c r="C387" s="225" t="s">
        <v>408</v>
      </c>
      <c r="D387" s="226" t="s">
        <v>26</v>
      </c>
      <c r="E387" s="227"/>
      <c r="F387" s="228">
        <f t="shared" ref="F387:N389" si="87">F388</f>
        <v>2268.1</v>
      </c>
      <c r="G387" s="228">
        <f t="shared" si="87"/>
        <v>0</v>
      </c>
      <c r="H387" s="228">
        <f t="shared" si="87"/>
        <v>2268.1</v>
      </c>
      <c r="I387" s="229">
        <f t="shared" si="87"/>
        <v>0</v>
      </c>
      <c r="J387" s="228">
        <f>J388</f>
        <v>0</v>
      </c>
      <c r="K387" s="229">
        <f t="shared" si="87"/>
        <v>0</v>
      </c>
      <c r="L387" s="228">
        <f t="shared" si="87"/>
        <v>2268.1</v>
      </c>
      <c r="M387" s="228">
        <f t="shared" si="87"/>
        <v>0</v>
      </c>
      <c r="N387" s="228">
        <f t="shared" si="87"/>
        <v>2268.1</v>
      </c>
      <c r="O387" s="178"/>
      <c r="P387" s="92"/>
    </row>
    <row r="388" spans="1:16" ht="22.15" customHeight="1" x14ac:dyDescent="0.2">
      <c r="A388" s="49"/>
      <c r="B388" s="190" t="s">
        <v>409</v>
      </c>
      <c r="C388" s="191" t="s">
        <v>410</v>
      </c>
      <c r="D388" s="192" t="s">
        <v>26</v>
      </c>
      <c r="E388" s="193"/>
      <c r="F388" s="230">
        <f t="shared" si="87"/>
        <v>2268.1</v>
      </c>
      <c r="G388" s="230">
        <f t="shared" si="87"/>
        <v>0</v>
      </c>
      <c r="H388" s="230">
        <f t="shared" si="87"/>
        <v>2268.1</v>
      </c>
      <c r="I388" s="231">
        <f t="shared" si="87"/>
        <v>0</v>
      </c>
      <c r="J388" s="230">
        <f>J389</f>
        <v>0</v>
      </c>
      <c r="K388" s="231">
        <f t="shared" si="87"/>
        <v>0</v>
      </c>
      <c r="L388" s="230">
        <f t="shared" si="87"/>
        <v>2268.1</v>
      </c>
      <c r="M388" s="230">
        <f t="shared" si="87"/>
        <v>0</v>
      </c>
      <c r="N388" s="230">
        <f t="shared" si="87"/>
        <v>2268.1</v>
      </c>
      <c r="O388" s="178"/>
      <c r="P388" s="92"/>
    </row>
    <row r="389" spans="1:16" ht="31.5" x14ac:dyDescent="0.2">
      <c r="A389" s="42"/>
      <c r="B389" s="168" t="s">
        <v>93</v>
      </c>
      <c r="C389" s="169" t="s">
        <v>411</v>
      </c>
      <c r="D389" s="170" t="s">
        <v>26</v>
      </c>
      <c r="E389" s="171"/>
      <c r="F389" s="232">
        <f t="shared" si="87"/>
        <v>2268.1</v>
      </c>
      <c r="G389" s="232">
        <f t="shared" si="87"/>
        <v>0</v>
      </c>
      <c r="H389" s="232">
        <f t="shared" si="87"/>
        <v>2268.1</v>
      </c>
      <c r="I389" s="233">
        <f t="shared" si="87"/>
        <v>0</v>
      </c>
      <c r="J389" s="234"/>
      <c r="K389" s="233">
        <f t="shared" si="87"/>
        <v>0</v>
      </c>
      <c r="L389" s="232">
        <f t="shared" si="87"/>
        <v>2268.1</v>
      </c>
      <c r="M389" s="232">
        <f t="shared" si="87"/>
        <v>0</v>
      </c>
      <c r="N389" s="232">
        <f t="shared" si="87"/>
        <v>2268.1</v>
      </c>
      <c r="O389" s="178"/>
      <c r="P389" s="92"/>
    </row>
    <row r="390" spans="1:16" ht="69" customHeight="1" x14ac:dyDescent="0.2">
      <c r="A390" s="42"/>
      <c r="B390" s="168" t="s">
        <v>31</v>
      </c>
      <c r="C390" s="169" t="s">
        <v>411</v>
      </c>
      <c r="D390" s="170" t="s">
        <v>32</v>
      </c>
      <c r="E390" s="171"/>
      <c r="F390" s="232">
        <v>2268.1</v>
      </c>
      <c r="G390" s="232"/>
      <c r="H390" s="232">
        <f>SUM(F390)</f>
        <v>2268.1</v>
      </c>
      <c r="I390" s="233">
        <v>0</v>
      </c>
      <c r="J390" s="234"/>
      <c r="K390" s="233">
        <v>0</v>
      </c>
      <c r="L390" s="232">
        <f>SUM(F390)</f>
        <v>2268.1</v>
      </c>
      <c r="M390" s="232">
        <f>SUM(G390)</f>
        <v>0</v>
      </c>
      <c r="N390" s="232">
        <f>SUM(H390)</f>
        <v>2268.1</v>
      </c>
      <c r="O390" s="178"/>
      <c r="P390" s="92"/>
    </row>
    <row r="391" spans="1:16" ht="31.5" x14ac:dyDescent="0.2">
      <c r="A391" s="19" t="s">
        <v>412</v>
      </c>
      <c r="B391" s="182" t="s">
        <v>413</v>
      </c>
      <c r="C391" s="183" t="s">
        <v>414</v>
      </c>
      <c r="D391" s="184" t="s">
        <v>26</v>
      </c>
      <c r="E391" s="185"/>
      <c r="F391" s="235">
        <f t="shared" ref="F391:N391" si="88">F392</f>
        <v>1395.6</v>
      </c>
      <c r="G391" s="235">
        <f t="shared" si="88"/>
        <v>206.3</v>
      </c>
      <c r="H391" s="235">
        <f t="shared" si="88"/>
        <v>1601.8999999999999</v>
      </c>
      <c r="I391" s="236">
        <f t="shared" si="88"/>
        <v>0</v>
      </c>
      <c r="J391" s="235">
        <f t="shared" si="88"/>
        <v>0</v>
      </c>
      <c r="K391" s="236">
        <f t="shared" si="88"/>
        <v>0</v>
      </c>
      <c r="L391" s="235">
        <f t="shared" si="88"/>
        <v>1395.6</v>
      </c>
      <c r="M391" s="235">
        <f t="shared" si="88"/>
        <v>206.3</v>
      </c>
      <c r="N391" s="235">
        <f t="shared" si="88"/>
        <v>1601.8999999999999</v>
      </c>
      <c r="O391" s="178"/>
      <c r="P391" s="92"/>
    </row>
    <row r="392" spans="1:16" ht="31.5" x14ac:dyDescent="0.2">
      <c r="A392" s="49"/>
      <c r="B392" s="190" t="s">
        <v>415</v>
      </c>
      <c r="C392" s="191" t="s">
        <v>416</v>
      </c>
      <c r="D392" s="192" t="s">
        <v>26</v>
      </c>
      <c r="E392" s="193"/>
      <c r="F392" s="230">
        <f t="shared" ref="F392:N392" si="89">F393+F395</f>
        <v>1395.6</v>
      </c>
      <c r="G392" s="230">
        <f t="shared" si="89"/>
        <v>206.3</v>
      </c>
      <c r="H392" s="230">
        <f t="shared" si="89"/>
        <v>1601.8999999999999</v>
      </c>
      <c r="I392" s="231">
        <f t="shared" si="89"/>
        <v>0</v>
      </c>
      <c r="J392" s="230">
        <f t="shared" si="89"/>
        <v>0</v>
      </c>
      <c r="K392" s="231">
        <f t="shared" si="89"/>
        <v>0</v>
      </c>
      <c r="L392" s="230">
        <f t="shared" si="89"/>
        <v>1395.6</v>
      </c>
      <c r="M392" s="230">
        <f t="shared" si="89"/>
        <v>206.3</v>
      </c>
      <c r="N392" s="230">
        <f t="shared" si="89"/>
        <v>1601.8999999999999</v>
      </c>
      <c r="O392" s="178"/>
      <c r="P392" s="92"/>
    </row>
    <row r="393" spans="1:16" ht="31.5" x14ac:dyDescent="0.2">
      <c r="A393" s="42"/>
      <c r="B393" s="168" t="s">
        <v>93</v>
      </c>
      <c r="C393" s="169" t="s">
        <v>417</v>
      </c>
      <c r="D393" s="170" t="s">
        <v>26</v>
      </c>
      <c r="E393" s="171"/>
      <c r="F393" s="232">
        <f>F394</f>
        <v>8.1</v>
      </c>
      <c r="G393" s="232">
        <f>G394</f>
        <v>0</v>
      </c>
      <c r="H393" s="232">
        <f>H394</f>
        <v>8.1</v>
      </c>
      <c r="I393" s="233">
        <f>I394</f>
        <v>0</v>
      </c>
      <c r="J393" s="234"/>
      <c r="K393" s="233">
        <f>K394</f>
        <v>0</v>
      </c>
      <c r="L393" s="232">
        <f>L394</f>
        <v>8.1</v>
      </c>
      <c r="M393" s="232">
        <f>M394</f>
        <v>0</v>
      </c>
      <c r="N393" s="232">
        <f>N394</f>
        <v>8.1</v>
      </c>
      <c r="O393" s="178"/>
      <c r="P393" s="92"/>
    </row>
    <row r="394" spans="1:16" ht="31.5" x14ac:dyDescent="0.2">
      <c r="A394" s="42"/>
      <c r="B394" s="168" t="s">
        <v>35</v>
      </c>
      <c r="C394" s="169" t="s">
        <v>417</v>
      </c>
      <c r="D394" s="170" t="s">
        <v>36</v>
      </c>
      <c r="E394" s="171"/>
      <c r="F394" s="232">
        <f>8+0.1</f>
        <v>8.1</v>
      </c>
      <c r="G394" s="232"/>
      <c r="H394" s="232">
        <f>8+0.1</f>
        <v>8.1</v>
      </c>
      <c r="I394" s="233">
        <v>0</v>
      </c>
      <c r="J394" s="234"/>
      <c r="K394" s="233">
        <v>0</v>
      </c>
      <c r="L394" s="232">
        <f>8+0.1</f>
        <v>8.1</v>
      </c>
      <c r="M394" s="232"/>
      <c r="N394" s="232">
        <f>8+0.1</f>
        <v>8.1</v>
      </c>
      <c r="O394" s="178"/>
      <c r="P394" s="92"/>
    </row>
    <row r="395" spans="1:16" ht="50.45" customHeight="1" x14ac:dyDescent="0.2">
      <c r="A395" s="42"/>
      <c r="B395" s="168" t="s">
        <v>418</v>
      </c>
      <c r="C395" s="169" t="s">
        <v>419</v>
      </c>
      <c r="D395" s="170" t="s">
        <v>26</v>
      </c>
      <c r="E395" s="171"/>
      <c r="F395" s="232">
        <f>F396</f>
        <v>1387.5</v>
      </c>
      <c r="G395" s="232">
        <f>G396</f>
        <v>206.3</v>
      </c>
      <c r="H395" s="232">
        <f>H396</f>
        <v>1593.8</v>
      </c>
      <c r="I395" s="233">
        <f>I396</f>
        <v>0</v>
      </c>
      <c r="J395" s="234"/>
      <c r="K395" s="233">
        <f>K396</f>
        <v>0</v>
      </c>
      <c r="L395" s="232">
        <f>L396</f>
        <v>1387.5</v>
      </c>
      <c r="M395" s="232">
        <f>M396</f>
        <v>206.3</v>
      </c>
      <c r="N395" s="232">
        <f>N396</f>
        <v>1593.8</v>
      </c>
      <c r="O395" s="178"/>
      <c r="P395" s="92"/>
    </row>
    <row r="396" spans="1:16" ht="18.75" x14ac:dyDescent="0.2">
      <c r="A396" s="42"/>
      <c r="B396" s="168" t="s">
        <v>278</v>
      </c>
      <c r="C396" s="169" t="s">
        <v>419</v>
      </c>
      <c r="D396" s="170" t="s">
        <v>279</v>
      </c>
      <c r="E396" s="171"/>
      <c r="F396" s="232">
        <f>1387.6-0.1</f>
        <v>1387.5</v>
      </c>
      <c r="G396" s="232">
        <v>206.3</v>
      </c>
      <c r="H396" s="232">
        <f>1387.6-0.1+G396</f>
        <v>1593.8</v>
      </c>
      <c r="I396" s="233">
        <v>0</v>
      </c>
      <c r="J396" s="234"/>
      <c r="K396" s="233">
        <v>0</v>
      </c>
      <c r="L396" s="232">
        <f>1387.6-0.1</f>
        <v>1387.5</v>
      </c>
      <c r="M396" s="232">
        <f>SUM(G396)</f>
        <v>206.3</v>
      </c>
      <c r="N396" s="232">
        <f>1387.6-0.1+M396</f>
        <v>1593.8</v>
      </c>
      <c r="O396" s="178"/>
      <c r="P396" s="92"/>
    </row>
    <row r="397" spans="1:16" ht="31.5" x14ac:dyDescent="0.2">
      <c r="A397" s="19" t="s">
        <v>420</v>
      </c>
      <c r="B397" s="182" t="s">
        <v>421</v>
      </c>
      <c r="C397" s="183" t="s">
        <v>422</v>
      </c>
      <c r="D397" s="184" t="s">
        <v>26</v>
      </c>
      <c r="E397" s="185"/>
      <c r="F397" s="235">
        <f t="shared" ref="F397:N397" si="90">F398+F403+F409</f>
        <v>41298.5</v>
      </c>
      <c r="G397" s="235">
        <f t="shared" si="90"/>
        <v>123</v>
      </c>
      <c r="H397" s="235">
        <f t="shared" si="90"/>
        <v>41449.699999999997</v>
      </c>
      <c r="I397" s="236">
        <f t="shared" si="90"/>
        <v>768.1</v>
      </c>
      <c r="J397" s="235">
        <f t="shared" si="90"/>
        <v>0</v>
      </c>
      <c r="K397" s="236">
        <f t="shared" si="90"/>
        <v>768.1</v>
      </c>
      <c r="L397" s="235">
        <f t="shared" si="90"/>
        <v>42066.6</v>
      </c>
      <c r="M397" s="235">
        <f t="shared" si="90"/>
        <v>123</v>
      </c>
      <c r="N397" s="235">
        <f t="shared" si="90"/>
        <v>42217.799999999996</v>
      </c>
      <c r="O397" s="178"/>
      <c r="P397" s="92"/>
    </row>
    <row r="398" spans="1:16" ht="31.5" x14ac:dyDescent="0.2">
      <c r="A398" s="49"/>
      <c r="B398" s="190" t="s">
        <v>423</v>
      </c>
      <c r="C398" s="191" t="s">
        <v>424</v>
      </c>
      <c r="D398" s="192" t="s">
        <v>26</v>
      </c>
      <c r="E398" s="193"/>
      <c r="F398" s="230">
        <f t="shared" ref="F398:N398" si="91">F399</f>
        <v>35605.5</v>
      </c>
      <c r="G398" s="230">
        <f t="shared" si="91"/>
        <v>123</v>
      </c>
      <c r="H398" s="230">
        <f t="shared" si="91"/>
        <v>35728.5</v>
      </c>
      <c r="I398" s="231">
        <f t="shared" si="91"/>
        <v>0</v>
      </c>
      <c r="J398" s="230">
        <f t="shared" si="91"/>
        <v>0</v>
      </c>
      <c r="K398" s="231">
        <f t="shared" si="91"/>
        <v>0</v>
      </c>
      <c r="L398" s="230">
        <f t="shared" si="91"/>
        <v>35605.5</v>
      </c>
      <c r="M398" s="230">
        <f t="shared" si="91"/>
        <v>123</v>
      </c>
      <c r="N398" s="230">
        <f t="shared" si="91"/>
        <v>35728.5</v>
      </c>
      <c r="O398" s="178"/>
      <c r="P398" s="92"/>
    </row>
    <row r="399" spans="1:16" ht="31.5" x14ac:dyDescent="0.2">
      <c r="A399" s="42"/>
      <c r="B399" s="168" t="s">
        <v>93</v>
      </c>
      <c r="C399" s="169" t="s">
        <v>425</v>
      </c>
      <c r="D399" s="170" t="s">
        <v>26</v>
      </c>
      <c r="E399" s="171"/>
      <c r="F399" s="232">
        <f>F400+F401+F402</f>
        <v>35605.5</v>
      </c>
      <c r="G399" s="232">
        <f>G400+G401+G402</f>
        <v>123</v>
      </c>
      <c r="H399" s="232">
        <f>H400+H401+H402</f>
        <v>35728.5</v>
      </c>
      <c r="I399" s="233">
        <f>I400+I401+I402</f>
        <v>0</v>
      </c>
      <c r="J399" s="234"/>
      <c r="K399" s="233">
        <f>K400+K401+K402</f>
        <v>0</v>
      </c>
      <c r="L399" s="232">
        <f>L400+L401+L402</f>
        <v>35605.5</v>
      </c>
      <c r="M399" s="232">
        <f>M400+M401+M402</f>
        <v>123</v>
      </c>
      <c r="N399" s="232">
        <f>N400+N401+N402</f>
        <v>35728.5</v>
      </c>
      <c r="O399" s="178"/>
      <c r="P399" s="92"/>
    </row>
    <row r="400" spans="1:16" ht="70.150000000000006" customHeight="1" x14ac:dyDescent="0.2">
      <c r="A400" s="42"/>
      <c r="B400" s="168" t="s">
        <v>31</v>
      </c>
      <c r="C400" s="169" t="s">
        <v>425</v>
      </c>
      <c r="D400" s="170" t="s">
        <v>32</v>
      </c>
      <c r="E400" s="171"/>
      <c r="F400" s="232">
        <v>35304.800000000003</v>
      </c>
      <c r="G400" s="232">
        <f>23+100</f>
        <v>123</v>
      </c>
      <c r="H400" s="232">
        <f>SUM(F400)+G400</f>
        <v>35427.800000000003</v>
      </c>
      <c r="I400" s="233">
        <v>0</v>
      </c>
      <c r="J400" s="234"/>
      <c r="K400" s="233">
        <v>0</v>
      </c>
      <c r="L400" s="232">
        <f t="shared" ref="L400:M402" si="92">SUM(F400)</f>
        <v>35304.800000000003</v>
      </c>
      <c r="M400" s="232">
        <f t="shared" si="92"/>
        <v>123</v>
      </c>
      <c r="N400" s="232">
        <f>SUM(M400)+L400</f>
        <v>35427.800000000003</v>
      </c>
      <c r="O400" s="178"/>
      <c r="P400" s="92"/>
    </row>
    <row r="401" spans="1:16" ht="31.5" x14ac:dyDescent="0.2">
      <c r="A401" s="42"/>
      <c r="B401" s="168" t="s">
        <v>35</v>
      </c>
      <c r="C401" s="169" t="s">
        <v>425</v>
      </c>
      <c r="D401" s="170" t="s">
        <v>36</v>
      </c>
      <c r="E401" s="171"/>
      <c r="F401" s="232">
        <v>260.7</v>
      </c>
      <c r="G401" s="232"/>
      <c r="H401" s="232">
        <v>260.7</v>
      </c>
      <c r="I401" s="233">
        <v>0</v>
      </c>
      <c r="J401" s="234"/>
      <c r="K401" s="233">
        <v>0</v>
      </c>
      <c r="L401" s="232">
        <f t="shared" si="92"/>
        <v>260.7</v>
      </c>
      <c r="M401" s="232">
        <f t="shared" si="92"/>
        <v>0</v>
      </c>
      <c r="N401" s="232">
        <f>SUM(H401)</f>
        <v>260.7</v>
      </c>
      <c r="O401" s="178"/>
      <c r="P401" s="92"/>
    </row>
    <row r="402" spans="1:16" ht="18.75" x14ac:dyDescent="0.2">
      <c r="A402" s="42"/>
      <c r="B402" s="168" t="s">
        <v>41</v>
      </c>
      <c r="C402" s="169" t="s">
        <v>425</v>
      </c>
      <c r="D402" s="170" t="s">
        <v>42</v>
      </c>
      <c r="E402" s="171"/>
      <c r="F402" s="232">
        <v>40</v>
      </c>
      <c r="G402" s="232"/>
      <c r="H402" s="232">
        <f>SUM(F402)+G402</f>
        <v>40</v>
      </c>
      <c r="I402" s="233">
        <v>0</v>
      </c>
      <c r="J402" s="234"/>
      <c r="K402" s="233">
        <v>0</v>
      </c>
      <c r="L402" s="232">
        <f t="shared" si="92"/>
        <v>40</v>
      </c>
      <c r="M402" s="232">
        <f t="shared" si="92"/>
        <v>0</v>
      </c>
      <c r="N402" s="232">
        <f>SUM(H402)</f>
        <v>40</v>
      </c>
      <c r="O402" s="178"/>
      <c r="P402" s="92"/>
    </row>
    <row r="403" spans="1:16" ht="21.6" customHeight="1" x14ac:dyDescent="0.2">
      <c r="A403" s="49"/>
      <c r="B403" s="168" t="s">
        <v>426</v>
      </c>
      <c r="C403" s="169" t="s">
        <v>427</v>
      </c>
      <c r="D403" s="170" t="s">
        <v>26</v>
      </c>
      <c r="E403" s="171"/>
      <c r="F403" s="232">
        <f>F407</f>
        <v>0</v>
      </c>
      <c r="G403" s="232">
        <f>G407</f>
        <v>0</v>
      </c>
      <c r="H403" s="232">
        <f>H407</f>
        <v>0</v>
      </c>
      <c r="I403" s="233">
        <f>I407+I404</f>
        <v>768.1</v>
      </c>
      <c r="J403" s="234"/>
      <c r="K403" s="233">
        <f>K407+K404</f>
        <v>768.1</v>
      </c>
      <c r="L403" s="233">
        <f>L407+L404</f>
        <v>768.1</v>
      </c>
      <c r="M403" s="232">
        <f>M407</f>
        <v>0</v>
      </c>
      <c r="N403" s="233">
        <f>N407+N404</f>
        <v>768.1</v>
      </c>
      <c r="O403" s="178"/>
      <c r="P403" s="92"/>
    </row>
    <row r="404" spans="1:16" ht="125.45" customHeight="1" x14ac:dyDescent="0.2">
      <c r="A404" s="49"/>
      <c r="B404" s="237" t="s">
        <v>428</v>
      </c>
      <c r="C404" s="169" t="s">
        <v>429</v>
      </c>
      <c r="D404" s="170"/>
      <c r="E404" s="171"/>
      <c r="F404" s="232"/>
      <c r="G404" s="232"/>
      <c r="H404" s="232"/>
      <c r="I404" s="233">
        <f>SUM(I405+I406)</f>
        <v>755.7</v>
      </c>
      <c r="J404" s="234"/>
      <c r="K404" s="233">
        <f>SUM(K405+K406)</f>
        <v>755.7</v>
      </c>
      <c r="L404" s="233">
        <f>SUM(L405+L406)</f>
        <v>755.7</v>
      </c>
      <c r="M404" s="232"/>
      <c r="N404" s="233">
        <f>SUM(N405+N406)</f>
        <v>755.7</v>
      </c>
      <c r="O404" s="178"/>
      <c r="P404" s="92"/>
    </row>
    <row r="405" spans="1:16" ht="66" customHeight="1" x14ac:dyDescent="0.2">
      <c r="A405" s="49"/>
      <c r="B405" s="168" t="s">
        <v>31</v>
      </c>
      <c r="C405" s="169" t="s">
        <v>429</v>
      </c>
      <c r="D405" s="170" t="s">
        <v>32</v>
      </c>
      <c r="E405" s="171"/>
      <c r="F405" s="232"/>
      <c r="G405" s="232"/>
      <c r="H405" s="232"/>
      <c r="I405" s="233">
        <v>674.7</v>
      </c>
      <c r="J405" s="234">
        <v>81</v>
      </c>
      <c r="K405" s="233">
        <f>674.7+J405</f>
        <v>755.7</v>
      </c>
      <c r="L405" s="233">
        <v>674.7</v>
      </c>
      <c r="M405" s="232">
        <f>SUM(J405)</f>
        <v>81</v>
      </c>
      <c r="N405" s="233">
        <f>674.7+M405</f>
        <v>755.7</v>
      </c>
      <c r="O405" s="178"/>
      <c r="P405" s="92"/>
    </row>
    <row r="406" spans="1:16" ht="23.45" customHeight="1" x14ac:dyDescent="0.2">
      <c r="A406" s="49"/>
      <c r="B406" s="168" t="s">
        <v>35</v>
      </c>
      <c r="C406" s="169" t="s">
        <v>429</v>
      </c>
      <c r="D406" s="170" t="s">
        <v>36</v>
      </c>
      <c r="E406" s="171"/>
      <c r="F406" s="232"/>
      <c r="G406" s="232"/>
      <c r="H406" s="232"/>
      <c r="I406" s="233">
        <v>81</v>
      </c>
      <c r="J406" s="234">
        <v>-81</v>
      </c>
      <c r="K406" s="233">
        <f>81+J406</f>
        <v>0</v>
      </c>
      <c r="L406" s="233">
        <v>81</v>
      </c>
      <c r="M406" s="232">
        <f>SUM(J406)</f>
        <v>-81</v>
      </c>
      <c r="N406" s="233">
        <f>81+M406</f>
        <v>0</v>
      </c>
      <c r="O406" s="178"/>
      <c r="P406" s="92"/>
    </row>
    <row r="407" spans="1:16" ht="47.25" x14ac:dyDescent="0.2">
      <c r="A407" s="42"/>
      <c r="B407" s="168" t="s">
        <v>430</v>
      </c>
      <c r="C407" s="169" t="s">
        <v>431</v>
      </c>
      <c r="D407" s="170" t="s">
        <v>26</v>
      </c>
      <c r="E407" s="171"/>
      <c r="F407" s="232">
        <f t="shared" ref="F407:N407" si="93">F408</f>
        <v>0</v>
      </c>
      <c r="G407" s="232">
        <f t="shared" si="93"/>
        <v>0</v>
      </c>
      <c r="H407" s="232">
        <f t="shared" si="93"/>
        <v>0</v>
      </c>
      <c r="I407" s="233">
        <f t="shared" si="93"/>
        <v>12.4</v>
      </c>
      <c r="J407" s="234"/>
      <c r="K407" s="233">
        <f t="shared" si="93"/>
        <v>12.4</v>
      </c>
      <c r="L407" s="232">
        <f t="shared" si="93"/>
        <v>12.4</v>
      </c>
      <c r="M407" s="232">
        <f t="shared" si="93"/>
        <v>0</v>
      </c>
      <c r="N407" s="232">
        <f t="shared" si="93"/>
        <v>12.4</v>
      </c>
      <c r="O407" s="178"/>
      <c r="P407" s="92"/>
    </row>
    <row r="408" spans="1:16" ht="31.5" x14ac:dyDescent="0.2">
      <c r="A408" s="42"/>
      <c r="B408" s="168" t="s">
        <v>35</v>
      </c>
      <c r="C408" s="169" t="s">
        <v>431</v>
      </c>
      <c r="D408" s="170" t="s">
        <v>36</v>
      </c>
      <c r="E408" s="171"/>
      <c r="F408" s="232">
        <v>0</v>
      </c>
      <c r="G408" s="232">
        <v>0</v>
      </c>
      <c r="H408" s="232">
        <v>0</v>
      </c>
      <c r="I408" s="233">
        <v>12.4</v>
      </c>
      <c r="J408" s="234"/>
      <c r="K408" s="233">
        <v>12.4</v>
      </c>
      <c r="L408" s="232">
        <v>12.4</v>
      </c>
      <c r="M408" s="232">
        <v>0</v>
      </c>
      <c r="N408" s="232">
        <v>12.4</v>
      </c>
      <c r="O408" s="178"/>
      <c r="P408" s="92"/>
    </row>
    <row r="409" spans="1:16" ht="18.75" x14ac:dyDescent="0.2">
      <c r="A409" s="49"/>
      <c r="B409" s="190" t="s">
        <v>432</v>
      </c>
      <c r="C409" s="191" t="s">
        <v>433</v>
      </c>
      <c r="D409" s="192" t="s">
        <v>26</v>
      </c>
      <c r="E409" s="193"/>
      <c r="F409" s="230">
        <f t="shared" ref="F409:N409" si="94">F410</f>
        <v>5693</v>
      </c>
      <c r="G409" s="230">
        <f t="shared" si="94"/>
        <v>0</v>
      </c>
      <c r="H409" s="230">
        <f t="shared" si="94"/>
        <v>5721.2</v>
      </c>
      <c r="I409" s="231">
        <f t="shared" si="94"/>
        <v>0</v>
      </c>
      <c r="J409" s="230">
        <f t="shared" si="94"/>
        <v>0</v>
      </c>
      <c r="K409" s="231">
        <f t="shared" si="94"/>
        <v>0</v>
      </c>
      <c r="L409" s="230">
        <f t="shared" si="94"/>
        <v>5693</v>
      </c>
      <c r="M409" s="230">
        <f t="shared" si="94"/>
        <v>0</v>
      </c>
      <c r="N409" s="230">
        <f t="shared" si="94"/>
        <v>5721.2</v>
      </c>
      <c r="O409" s="178"/>
      <c r="P409" s="92"/>
    </row>
    <row r="410" spans="1:16" ht="31.5" x14ac:dyDescent="0.2">
      <c r="A410" s="42"/>
      <c r="B410" s="168" t="s">
        <v>434</v>
      </c>
      <c r="C410" s="169" t="s">
        <v>435</v>
      </c>
      <c r="D410" s="170" t="s">
        <v>26</v>
      </c>
      <c r="E410" s="171"/>
      <c r="F410" s="232">
        <f>F412+F411</f>
        <v>5693</v>
      </c>
      <c r="G410" s="232">
        <f>SUM(G412)+G411</f>
        <v>0</v>
      </c>
      <c r="H410" s="232">
        <f>H412+H411</f>
        <v>5721.2</v>
      </c>
      <c r="I410" s="233">
        <f>I412</f>
        <v>0</v>
      </c>
      <c r="J410" s="234"/>
      <c r="K410" s="233">
        <f>K412</f>
        <v>0</v>
      </c>
      <c r="L410" s="232">
        <f>SUM(F410)</f>
        <v>5693</v>
      </c>
      <c r="M410" s="232">
        <f>SUM(M412)+M411</f>
        <v>0</v>
      </c>
      <c r="N410" s="232">
        <f>SUM(H410)</f>
        <v>5721.2</v>
      </c>
      <c r="O410" s="178"/>
      <c r="P410" s="92"/>
    </row>
    <row r="411" spans="1:16" ht="31.5" x14ac:dyDescent="0.2">
      <c r="A411" s="42"/>
      <c r="B411" s="168" t="s">
        <v>35</v>
      </c>
      <c r="C411" s="169" t="s">
        <v>435</v>
      </c>
      <c r="D411" s="170" t="s">
        <v>36</v>
      </c>
      <c r="E411" s="171"/>
      <c r="F411" s="232">
        <v>3617.7</v>
      </c>
      <c r="G411" s="232">
        <v>28.2</v>
      </c>
      <c r="H411" s="232">
        <f>SUM(F411)+G411</f>
        <v>3645.8999999999996</v>
      </c>
      <c r="I411" s="233"/>
      <c r="J411" s="234"/>
      <c r="K411" s="233"/>
      <c r="L411" s="232">
        <f>SUM(F411)</f>
        <v>3617.7</v>
      </c>
      <c r="M411" s="232">
        <f>SUM(G411)</f>
        <v>28.2</v>
      </c>
      <c r="N411" s="232">
        <f>SUM(H411)</f>
        <v>3645.8999999999996</v>
      </c>
      <c r="O411" s="178"/>
      <c r="P411" s="92"/>
    </row>
    <row r="412" spans="1:16" ht="18.75" x14ac:dyDescent="0.2">
      <c r="A412" s="42"/>
      <c r="B412" s="168" t="s">
        <v>41</v>
      </c>
      <c r="C412" s="169" t="s">
        <v>435</v>
      </c>
      <c r="D412" s="170" t="s">
        <v>42</v>
      </c>
      <c r="E412" s="171"/>
      <c r="F412" s="232">
        <v>2075.3000000000002</v>
      </c>
      <c r="G412" s="232">
        <v>-28.2</v>
      </c>
      <c r="H412" s="232">
        <v>2075.3000000000002</v>
      </c>
      <c r="I412" s="233">
        <v>0</v>
      </c>
      <c r="J412" s="234"/>
      <c r="K412" s="233">
        <v>0</v>
      </c>
      <c r="L412" s="232">
        <f>F412</f>
        <v>2075.3000000000002</v>
      </c>
      <c r="M412" s="232">
        <f>SUM(G412)</f>
        <v>-28.2</v>
      </c>
      <c r="N412" s="232">
        <f>L412+M412</f>
        <v>2047.1000000000001</v>
      </c>
      <c r="O412" s="178"/>
      <c r="P412" s="92"/>
    </row>
    <row r="413" spans="1:16" ht="37.15" customHeight="1" x14ac:dyDescent="0.2">
      <c r="A413" s="19" t="s">
        <v>436</v>
      </c>
      <c r="B413" s="182" t="s">
        <v>437</v>
      </c>
      <c r="C413" s="183" t="s">
        <v>438</v>
      </c>
      <c r="D413" s="184" t="s">
        <v>26</v>
      </c>
      <c r="E413" s="185"/>
      <c r="F413" s="235">
        <f>F417</f>
        <v>776.3</v>
      </c>
      <c r="G413" s="238">
        <f>G417</f>
        <v>89</v>
      </c>
      <c r="H413" s="238">
        <f>H417</f>
        <v>865.3</v>
      </c>
      <c r="I413" s="236">
        <f>I414</f>
        <v>0</v>
      </c>
      <c r="J413" s="239"/>
      <c r="K413" s="239"/>
      <c r="L413" s="239">
        <f>L417</f>
        <v>776.3</v>
      </c>
      <c r="M413" s="239">
        <f>M417</f>
        <v>89</v>
      </c>
      <c r="N413" s="239">
        <f>N417</f>
        <v>865.3</v>
      </c>
      <c r="O413" s="178"/>
      <c r="P413" s="92"/>
    </row>
    <row r="414" spans="1:16" ht="27.6" hidden="1" customHeight="1" x14ac:dyDescent="0.2">
      <c r="A414" s="42"/>
      <c r="B414" s="168" t="s">
        <v>439</v>
      </c>
      <c r="C414" s="169" t="s">
        <v>440</v>
      </c>
      <c r="D414" s="170" t="s">
        <v>26</v>
      </c>
      <c r="E414" s="171"/>
      <c r="F414" s="232">
        <f>F415</f>
        <v>0</v>
      </c>
      <c r="G414" s="234"/>
      <c r="H414" s="234"/>
      <c r="I414" s="233">
        <f>I415</f>
        <v>0</v>
      </c>
      <c r="J414" s="240"/>
      <c r="K414" s="240"/>
      <c r="L414" s="240"/>
      <c r="M414" s="240"/>
      <c r="N414" s="240">
        <f>N415</f>
        <v>0</v>
      </c>
      <c r="O414" s="178"/>
      <c r="P414" s="92"/>
    </row>
    <row r="415" spans="1:16" ht="24.6" hidden="1" customHeight="1" x14ac:dyDescent="0.2">
      <c r="A415" s="42"/>
      <c r="B415" s="168" t="s">
        <v>441</v>
      </c>
      <c r="C415" s="169" t="s">
        <v>442</v>
      </c>
      <c r="D415" s="170" t="s">
        <v>26</v>
      </c>
      <c r="E415" s="171"/>
      <c r="F415" s="232"/>
      <c r="G415" s="234"/>
      <c r="H415" s="234"/>
      <c r="I415" s="233">
        <f>I421</f>
        <v>0</v>
      </c>
      <c r="J415" s="234"/>
      <c r="K415" s="234"/>
      <c r="L415" s="234"/>
      <c r="M415" s="234"/>
      <c r="N415" s="232"/>
      <c r="O415" s="178"/>
      <c r="P415" s="92"/>
    </row>
    <row r="416" spans="1:16" ht="28.15" hidden="1" customHeight="1" thickBot="1" x14ac:dyDescent="0.25">
      <c r="A416" s="57"/>
      <c r="B416" s="241" t="s">
        <v>41</v>
      </c>
      <c r="C416" s="242" t="s">
        <v>442</v>
      </c>
      <c r="D416" s="170" t="s">
        <v>42</v>
      </c>
      <c r="E416" s="171"/>
      <c r="F416" s="232"/>
      <c r="G416" s="234"/>
      <c r="H416" s="234"/>
      <c r="I416" s="233">
        <v>0</v>
      </c>
      <c r="J416" s="234"/>
      <c r="K416" s="234"/>
      <c r="L416" s="234"/>
      <c r="M416" s="234"/>
      <c r="N416" s="232"/>
      <c r="O416" s="178"/>
      <c r="P416" s="92"/>
    </row>
    <row r="417" spans="1:16" ht="31.5" x14ac:dyDescent="0.2">
      <c r="A417" s="57"/>
      <c r="B417" s="197" t="s">
        <v>439</v>
      </c>
      <c r="C417" s="218" t="s">
        <v>440</v>
      </c>
      <c r="D417" s="218"/>
      <c r="E417" s="218"/>
      <c r="F417" s="233">
        <v>776.3</v>
      </c>
      <c r="G417" s="233">
        <f>SUM(G419)</f>
        <v>89</v>
      </c>
      <c r="H417" s="233">
        <f>SUM(F417)+G417</f>
        <v>865.3</v>
      </c>
      <c r="I417" s="233"/>
      <c r="J417" s="233"/>
      <c r="K417" s="233"/>
      <c r="L417" s="233">
        <f>SUM(F417)</f>
        <v>776.3</v>
      </c>
      <c r="M417" s="233">
        <f t="shared" ref="M417:N419" si="95">SUM(G417)</f>
        <v>89</v>
      </c>
      <c r="N417" s="233">
        <f t="shared" si="95"/>
        <v>865.3</v>
      </c>
      <c r="O417" s="178"/>
      <c r="P417" s="92"/>
    </row>
    <row r="418" spans="1:16" ht="31.5" x14ac:dyDescent="0.2">
      <c r="A418" s="57"/>
      <c r="B418" s="197" t="s">
        <v>441</v>
      </c>
      <c r="C418" s="199" t="s">
        <v>442</v>
      </c>
      <c r="D418" s="218"/>
      <c r="E418" s="218"/>
      <c r="F418" s="233">
        <v>776.3</v>
      </c>
      <c r="G418" s="233">
        <f>SUM(G419)</f>
        <v>89</v>
      </c>
      <c r="H418" s="233">
        <f>SUM(F418)+G418</f>
        <v>865.3</v>
      </c>
      <c r="I418" s="233"/>
      <c r="J418" s="233"/>
      <c r="K418" s="233"/>
      <c r="L418" s="233">
        <f>SUM(F418)</f>
        <v>776.3</v>
      </c>
      <c r="M418" s="233">
        <f t="shared" si="95"/>
        <v>89</v>
      </c>
      <c r="N418" s="233">
        <f t="shared" si="95"/>
        <v>865.3</v>
      </c>
      <c r="O418" s="178"/>
      <c r="P418" s="92"/>
    </row>
    <row r="419" spans="1:16" ht="18.75" x14ac:dyDescent="0.2">
      <c r="A419" s="57"/>
      <c r="B419" s="168" t="s">
        <v>41</v>
      </c>
      <c r="C419" s="199" t="s">
        <v>442</v>
      </c>
      <c r="D419" s="218" t="s">
        <v>42</v>
      </c>
      <c r="E419" s="218"/>
      <c r="F419" s="233">
        <v>776.3</v>
      </c>
      <c r="G419" s="233">
        <f>75+12+2</f>
        <v>89</v>
      </c>
      <c r="H419" s="233">
        <f>SUM(F419)+G419</f>
        <v>865.3</v>
      </c>
      <c r="I419" s="233"/>
      <c r="J419" s="233"/>
      <c r="K419" s="233"/>
      <c r="L419" s="233">
        <f>SUM(F419)</f>
        <v>776.3</v>
      </c>
      <c r="M419" s="233">
        <f t="shared" si="95"/>
        <v>89</v>
      </c>
      <c r="N419" s="233">
        <f t="shared" si="95"/>
        <v>865.3</v>
      </c>
      <c r="O419" s="178"/>
      <c r="P419" s="92"/>
    </row>
    <row r="420" spans="1:16" ht="34.15" customHeight="1" x14ac:dyDescent="0.2">
      <c r="A420" s="57"/>
      <c r="B420" s="450" t="s">
        <v>443</v>
      </c>
      <c r="C420" s="451"/>
      <c r="D420" s="451"/>
      <c r="E420" s="451"/>
      <c r="F420" s="451"/>
      <c r="G420" s="451"/>
      <c r="H420" s="451"/>
      <c r="I420" s="451"/>
      <c r="J420" s="451"/>
      <c r="K420" s="451"/>
      <c r="L420" s="451"/>
      <c r="M420" s="451"/>
      <c r="N420" s="451"/>
      <c r="O420" s="252"/>
      <c r="P420" s="253"/>
    </row>
    <row r="421" spans="1:16" ht="16.5" customHeight="1" thickBot="1" x14ac:dyDescent="0.25">
      <c r="A421" s="70"/>
      <c r="B421" s="452"/>
      <c r="C421" s="453"/>
      <c r="D421" s="453"/>
      <c r="E421" s="453"/>
      <c r="F421" s="453"/>
      <c r="G421" s="453"/>
      <c r="H421" s="453"/>
      <c r="I421" s="453"/>
      <c r="J421" s="453"/>
      <c r="K421" s="453"/>
      <c r="L421" s="453"/>
      <c r="M421" s="453"/>
      <c r="N421" s="453"/>
      <c r="O421" s="252"/>
      <c r="P421" s="253"/>
    </row>
    <row r="422" spans="1:16" x14ac:dyDescent="0.2">
      <c r="B422" s="244"/>
      <c r="C422" s="244"/>
      <c r="D422" s="244"/>
      <c r="E422" s="244"/>
      <c r="F422" s="244"/>
      <c r="G422" s="244"/>
      <c r="H422" s="244"/>
      <c r="I422" s="244"/>
      <c r="J422" s="244"/>
      <c r="K422" s="244"/>
      <c r="L422" s="244"/>
      <c r="M422" s="244"/>
      <c r="N422" s="244"/>
      <c r="O422" s="244"/>
    </row>
    <row r="423" spans="1:16" x14ac:dyDescent="0.2">
      <c r="B423" s="244"/>
      <c r="C423" s="244"/>
      <c r="D423" s="244"/>
      <c r="E423" s="244"/>
      <c r="F423" s="244"/>
      <c r="G423" s="244"/>
      <c r="H423" s="244"/>
      <c r="I423" s="244"/>
      <c r="J423" s="244"/>
      <c r="K423" s="244"/>
      <c r="L423" s="244"/>
      <c r="M423" s="244"/>
      <c r="N423" s="244"/>
      <c r="O423" s="244"/>
    </row>
    <row r="424" spans="1:16" x14ac:dyDescent="0.2">
      <c r="B424" s="244"/>
      <c r="C424" s="244"/>
      <c r="D424" s="244"/>
      <c r="E424" s="244"/>
      <c r="F424" s="244"/>
      <c r="G424" s="244"/>
      <c r="H424" s="244"/>
      <c r="I424" s="244"/>
      <c r="J424" s="244"/>
      <c r="K424" s="244"/>
      <c r="L424" s="244"/>
      <c r="M424" s="244"/>
      <c r="N424" s="244"/>
      <c r="O424" s="244"/>
    </row>
    <row r="425" spans="1:16" x14ac:dyDescent="0.2">
      <c r="B425" s="244"/>
      <c r="C425" s="244"/>
      <c r="D425" s="244"/>
      <c r="E425" s="244"/>
      <c r="F425" s="244"/>
      <c r="G425" s="244"/>
      <c r="H425" s="244"/>
      <c r="I425" s="244"/>
      <c r="J425" s="244"/>
      <c r="K425" s="244"/>
      <c r="L425" s="244"/>
      <c r="M425" s="244"/>
      <c r="N425" s="244"/>
      <c r="O425" s="244"/>
    </row>
    <row r="426" spans="1:16" x14ac:dyDescent="0.2">
      <c r="B426" s="244"/>
      <c r="C426" s="244"/>
      <c r="D426" s="244"/>
      <c r="E426" s="244"/>
      <c r="F426" s="244"/>
      <c r="G426" s="244"/>
      <c r="H426" s="244"/>
      <c r="I426" s="244"/>
      <c r="J426" s="244"/>
      <c r="K426" s="244"/>
      <c r="L426" s="244"/>
      <c r="M426" s="244"/>
      <c r="N426" s="244"/>
      <c r="O426" s="244"/>
    </row>
    <row r="427" spans="1:16" x14ac:dyDescent="0.2">
      <c r="B427" s="244"/>
      <c r="C427" s="244"/>
      <c r="D427" s="244"/>
      <c r="E427" s="244"/>
      <c r="F427" s="244"/>
      <c r="G427" s="244"/>
      <c r="H427" s="244"/>
      <c r="I427" s="244"/>
      <c r="J427" s="244"/>
      <c r="K427" s="244"/>
      <c r="L427" s="244"/>
      <c r="M427" s="244"/>
      <c r="N427" s="244"/>
      <c r="O427" s="244"/>
    </row>
    <row r="428" spans="1:16" x14ac:dyDescent="0.2">
      <c r="B428" s="244"/>
      <c r="C428" s="244"/>
      <c r="D428" s="244"/>
      <c r="E428" s="244"/>
      <c r="F428" s="244"/>
      <c r="G428" s="244"/>
      <c r="H428" s="244"/>
      <c r="I428" s="244"/>
      <c r="J428" s="244"/>
      <c r="K428" s="244"/>
      <c r="L428" s="244"/>
      <c r="M428" s="244"/>
      <c r="N428" s="244"/>
      <c r="O428" s="244"/>
    </row>
    <row r="429" spans="1:16" x14ac:dyDescent="0.2">
      <c r="B429" s="244"/>
      <c r="C429" s="244"/>
      <c r="D429" s="244"/>
      <c r="E429" s="244"/>
      <c r="F429" s="244"/>
      <c r="G429" s="244"/>
      <c r="H429" s="244"/>
      <c r="I429" s="244"/>
      <c r="J429" s="244"/>
      <c r="K429" s="244"/>
      <c r="L429" s="244"/>
      <c r="M429" s="244"/>
      <c r="N429" s="244"/>
      <c r="O429" s="244"/>
    </row>
    <row r="430" spans="1:16" x14ac:dyDescent="0.2">
      <c r="B430" s="244"/>
      <c r="C430" s="244"/>
      <c r="D430" s="244"/>
      <c r="E430" s="244"/>
      <c r="F430" s="244"/>
      <c r="G430" s="244"/>
      <c r="H430" s="244"/>
      <c r="I430" s="244"/>
      <c r="J430" s="244"/>
      <c r="K430" s="244"/>
      <c r="L430" s="244"/>
      <c r="M430" s="244"/>
      <c r="N430" s="244"/>
      <c r="O430" s="244"/>
    </row>
    <row r="431" spans="1:16" x14ac:dyDescent="0.2">
      <c r="B431" s="244"/>
      <c r="C431" s="244"/>
      <c r="D431" s="244"/>
      <c r="E431" s="244"/>
      <c r="F431" s="244"/>
      <c r="G431" s="244"/>
      <c r="H431" s="244"/>
      <c r="I431" s="244"/>
      <c r="J431" s="244"/>
      <c r="K431" s="244"/>
      <c r="L431" s="244"/>
      <c r="M431" s="244"/>
      <c r="N431" s="244"/>
      <c r="O431" s="244"/>
    </row>
    <row r="432" spans="1:16" x14ac:dyDescent="0.2">
      <c r="B432" s="244"/>
      <c r="C432" s="244"/>
      <c r="D432" s="244"/>
      <c r="E432" s="244"/>
      <c r="F432" s="244"/>
      <c r="G432" s="244"/>
      <c r="H432" s="244"/>
      <c r="I432" s="244"/>
      <c r="J432" s="244"/>
      <c r="K432" s="244"/>
      <c r="L432" s="244"/>
      <c r="M432" s="244"/>
      <c r="N432" s="244"/>
      <c r="O432" s="244"/>
    </row>
    <row r="433" spans="2:15" x14ac:dyDescent="0.2">
      <c r="B433" s="244"/>
      <c r="C433" s="244"/>
      <c r="D433" s="244"/>
      <c r="E433" s="244"/>
      <c r="F433" s="244"/>
      <c r="G433" s="244"/>
      <c r="H433" s="244"/>
      <c r="I433" s="244"/>
      <c r="J433" s="244"/>
      <c r="K433" s="244"/>
      <c r="L433" s="244"/>
      <c r="M433" s="244"/>
      <c r="N433" s="244"/>
      <c r="O433" s="244"/>
    </row>
    <row r="434" spans="2:15" x14ac:dyDescent="0.2">
      <c r="B434" s="244"/>
      <c r="C434" s="244"/>
      <c r="D434" s="244"/>
      <c r="E434" s="244"/>
      <c r="F434" s="244"/>
      <c r="G434" s="244"/>
      <c r="H434" s="244"/>
      <c r="I434" s="244"/>
      <c r="J434" s="244"/>
      <c r="K434" s="244"/>
      <c r="L434" s="244"/>
      <c r="M434" s="244"/>
      <c r="N434" s="244"/>
      <c r="O434" s="244"/>
    </row>
    <row r="435" spans="2:15" x14ac:dyDescent="0.2">
      <c r="B435" s="244"/>
      <c r="C435" s="244"/>
      <c r="D435" s="244"/>
      <c r="E435" s="244"/>
      <c r="F435" s="244"/>
      <c r="G435" s="244"/>
      <c r="H435" s="244"/>
      <c r="I435" s="244"/>
      <c r="J435" s="244"/>
      <c r="K435" s="244"/>
      <c r="L435" s="244"/>
      <c r="M435" s="244"/>
      <c r="N435" s="244"/>
      <c r="O435" s="244"/>
    </row>
    <row r="436" spans="2:15" x14ac:dyDescent="0.2">
      <c r="B436" s="244"/>
      <c r="C436" s="244"/>
      <c r="D436" s="244"/>
      <c r="E436" s="244"/>
      <c r="F436" s="244"/>
      <c r="G436" s="244"/>
      <c r="H436" s="244"/>
      <c r="I436" s="244"/>
      <c r="J436" s="244"/>
      <c r="K436" s="244"/>
      <c r="L436" s="244"/>
      <c r="M436" s="244"/>
      <c r="N436" s="244"/>
      <c r="O436" s="244"/>
    </row>
    <row r="437" spans="2:15" x14ac:dyDescent="0.2">
      <c r="B437" s="244"/>
      <c r="C437" s="244"/>
      <c r="D437" s="244"/>
      <c r="E437" s="244"/>
      <c r="F437" s="244"/>
      <c r="G437" s="244"/>
      <c r="H437" s="244"/>
      <c r="I437" s="244"/>
      <c r="J437" s="244"/>
      <c r="K437" s="244"/>
      <c r="L437" s="244"/>
      <c r="M437" s="244"/>
      <c r="N437" s="244"/>
      <c r="O437" s="244"/>
    </row>
    <row r="438" spans="2:15" x14ac:dyDescent="0.2">
      <c r="B438" s="244"/>
      <c r="C438" s="244"/>
      <c r="D438" s="244"/>
      <c r="E438" s="244"/>
      <c r="F438" s="244"/>
      <c r="G438" s="244"/>
      <c r="H438" s="244"/>
      <c r="I438" s="244"/>
      <c r="J438" s="244"/>
      <c r="K438" s="244"/>
      <c r="L438" s="244"/>
      <c r="M438" s="244"/>
      <c r="N438" s="244"/>
      <c r="O438" s="244"/>
    </row>
    <row r="439" spans="2:15" x14ac:dyDescent="0.2">
      <c r="B439" s="244"/>
      <c r="C439" s="244"/>
      <c r="D439" s="244"/>
      <c r="E439" s="244"/>
      <c r="F439" s="244"/>
      <c r="G439" s="244"/>
      <c r="H439" s="244"/>
      <c r="I439" s="244"/>
      <c r="J439" s="244"/>
      <c r="K439" s="244"/>
      <c r="L439" s="244"/>
      <c r="M439" s="244"/>
      <c r="N439" s="244"/>
      <c r="O439" s="244"/>
    </row>
    <row r="440" spans="2:15" x14ac:dyDescent="0.2">
      <c r="B440" s="244"/>
      <c r="C440" s="244"/>
      <c r="D440" s="244"/>
      <c r="E440" s="244"/>
      <c r="F440" s="244"/>
      <c r="G440" s="244"/>
      <c r="H440" s="244"/>
      <c r="I440" s="244"/>
      <c r="J440" s="244"/>
      <c r="K440" s="244"/>
      <c r="L440" s="244"/>
      <c r="M440" s="244"/>
      <c r="N440" s="244"/>
      <c r="O440" s="244"/>
    </row>
    <row r="441" spans="2:15" x14ac:dyDescent="0.2">
      <c r="B441" s="244"/>
      <c r="C441" s="244"/>
      <c r="D441" s="244"/>
      <c r="E441" s="244"/>
      <c r="F441" s="244"/>
      <c r="G441" s="244"/>
      <c r="H441" s="244"/>
      <c r="I441" s="244"/>
      <c r="J441" s="244"/>
      <c r="K441" s="244"/>
      <c r="L441" s="244"/>
      <c r="M441" s="244"/>
      <c r="N441" s="244"/>
      <c r="O441" s="244"/>
    </row>
    <row r="442" spans="2:15" x14ac:dyDescent="0.2">
      <c r="B442" s="244"/>
      <c r="C442" s="244"/>
      <c r="D442" s="244"/>
      <c r="E442" s="244"/>
      <c r="F442" s="244"/>
      <c r="G442" s="244"/>
      <c r="H442" s="244"/>
      <c r="I442" s="244"/>
      <c r="J442" s="244"/>
      <c r="K442" s="244"/>
      <c r="L442" s="244"/>
      <c r="M442" s="244"/>
      <c r="N442" s="244"/>
      <c r="O442" s="244"/>
    </row>
    <row r="443" spans="2:15" x14ac:dyDescent="0.2">
      <c r="B443" s="244"/>
      <c r="C443" s="244"/>
      <c r="D443" s="244"/>
      <c r="E443" s="244"/>
      <c r="F443" s="244"/>
      <c r="G443" s="244"/>
      <c r="H443" s="244"/>
      <c r="I443" s="244"/>
      <c r="J443" s="244"/>
      <c r="K443" s="244"/>
      <c r="L443" s="244"/>
      <c r="M443" s="244"/>
      <c r="N443" s="244"/>
      <c r="O443" s="244"/>
    </row>
    <row r="444" spans="2:15" x14ac:dyDescent="0.2">
      <c r="B444" s="244"/>
      <c r="C444" s="244"/>
      <c r="D444" s="244"/>
      <c r="E444" s="244"/>
      <c r="F444" s="244"/>
      <c r="G444" s="244"/>
      <c r="H444" s="244"/>
      <c r="I444" s="244"/>
      <c r="J444" s="244"/>
      <c r="K444" s="244"/>
      <c r="L444" s="244"/>
      <c r="M444" s="244"/>
      <c r="N444" s="244"/>
      <c r="O444" s="244"/>
    </row>
    <row r="445" spans="2:15" x14ac:dyDescent="0.2">
      <c r="B445" s="244"/>
      <c r="C445" s="244"/>
      <c r="D445" s="244"/>
      <c r="E445" s="244"/>
      <c r="F445" s="244"/>
      <c r="G445" s="244"/>
      <c r="H445" s="244"/>
      <c r="I445" s="244"/>
      <c r="J445" s="244"/>
      <c r="K445" s="244"/>
      <c r="L445" s="244"/>
      <c r="M445" s="244"/>
      <c r="N445" s="244"/>
      <c r="O445" s="244"/>
    </row>
    <row r="446" spans="2:15" x14ac:dyDescent="0.2">
      <c r="B446" s="244"/>
      <c r="C446" s="244"/>
      <c r="D446" s="244"/>
      <c r="E446" s="244"/>
      <c r="F446" s="244"/>
      <c r="G446" s="244"/>
      <c r="H446" s="244"/>
      <c r="I446" s="244"/>
      <c r="J446" s="244"/>
      <c r="K446" s="244"/>
      <c r="L446" s="244"/>
      <c r="M446" s="244"/>
      <c r="N446" s="244"/>
      <c r="O446" s="244"/>
    </row>
    <row r="447" spans="2:15" x14ac:dyDescent="0.2">
      <c r="B447" s="244"/>
      <c r="C447" s="244"/>
      <c r="D447" s="244"/>
      <c r="E447" s="244"/>
      <c r="F447" s="244"/>
      <c r="G447" s="244"/>
      <c r="H447" s="244"/>
      <c r="I447" s="244"/>
      <c r="J447" s="244"/>
      <c r="K447" s="244"/>
      <c r="L447" s="244"/>
      <c r="M447" s="244"/>
      <c r="N447" s="244"/>
      <c r="O447" s="244"/>
    </row>
    <row r="448" spans="2:15" x14ac:dyDescent="0.2">
      <c r="B448" s="244"/>
      <c r="C448" s="244"/>
      <c r="D448" s="244"/>
      <c r="E448" s="244"/>
      <c r="F448" s="244"/>
      <c r="G448" s="244"/>
      <c r="H448" s="244"/>
      <c r="I448" s="244"/>
      <c r="J448" s="244"/>
      <c r="K448" s="244"/>
      <c r="L448" s="244"/>
      <c r="M448" s="244"/>
      <c r="N448" s="244"/>
      <c r="O448" s="244"/>
    </row>
    <row r="449" spans="2:15" x14ac:dyDescent="0.2">
      <c r="B449" s="244"/>
      <c r="C449" s="244"/>
      <c r="D449" s="244"/>
      <c r="E449" s="244"/>
      <c r="F449" s="244"/>
      <c r="G449" s="244"/>
      <c r="H449" s="244"/>
      <c r="I449" s="244"/>
      <c r="J449" s="244"/>
      <c r="K449" s="244"/>
      <c r="L449" s="244"/>
      <c r="M449" s="244"/>
      <c r="N449" s="244"/>
      <c r="O449" s="244"/>
    </row>
    <row r="450" spans="2:15" x14ac:dyDescent="0.2">
      <c r="B450" s="244"/>
      <c r="C450" s="244"/>
      <c r="D450" s="244"/>
      <c r="E450" s="244"/>
      <c r="F450" s="244"/>
      <c r="G450" s="244"/>
      <c r="H450" s="244"/>
      <c r="I450" s="244"/>
      <c r="J450" s="244"/>
      <c r="K450" s="244"/>
      <c r="L450" s="244"/>
      <c r="M450" s="244"/>
      <c r="N450" s="244"/>
      <c r="O450" s="244"/>
    </row>
    <row r="451" spans="2:15" x14ac:dyDescent="0.2">
      <c r="B451" s="244"/>
      <c r="C451" s="244"/>
      <c r="D451" s="244"/>
      <c r="E451" s="244"/>
      <c r="F451" s="244"/>
      <c r="G451" s="244"/>
      <c r="H451" s="244"/>
      <c r="I451" s="244"/>
      <c r="J451" s="244"/>
      <c r="K451" s="244"/>
      <c r="L451" s="244"/>
      <c r="M451" s="244"/>
      <c r="N451" s="244"/>
      <c r="O451" s="244"/>
    </row>
    <row r="452" spans="2:15" x14ac:dyDescent="0.2">
      <c r="B452" s="244"/>
      <c r="C452" s="244"/>
      <c r="D452" s="244"/>
      <c r="E452" s="244"/>
      <c r="F452" s="244"/>
      <c r="G452" s="244"/>
      <c r="H452" s="244"/>
      <c r="I452" s="244"/>
      <c r="J452" s="244"/>
      <c r="K452" s="244"/>
      <c r="L452" s="244"/>
      <c r="M452" s="244"/>
      <c r="N452" s="244"/>
      <c r="O452" s="244"/>
    </row>
    <row r="453" spans="2:15" x14ac:dyDescent="0.2">
      <c r="B453" s="244"/>
      <c r="C453" s="244"/>
      <c r="D453" s="244"/>
      <c r="E453" s="244"/>
      <c r="F453" s="244"/>
      <c r="G453" s="244"/>
      <c r="H453" s="244"/>
      <c r="I453" s="244"/>
      <c r="J453" s="244"/>
      <c r="K453" s="244"/>
      <c r="L453" s="244"/>
      <c r="M453" s="244"/>
      <c r="N453" s="244"/>
      <c r="O453" s="244"/>
    </row>
    <row r="454" spans="2:15" x14ac:dyDescent="0.2">
      <c r="B454" s="244"/>
      <c r="C454" s="244"/>
      <c r="D454" s="244"/>
      <c r="E454" s="244"/>
      <c r="F454" s="244"/>
      <c r="G454" s="244"/>
      <c r="H454" s="244"/>
      <c r="I454" s="244"/>
      <c r="J454" s="244"/>
      <c r="K454" s="244"/>
      <c r="L454" s="244"/>
      <c r="M454" s="244"/>
      <c r="N454" s="244"/>
      <c r="O454" s="244"/>
    </row>
    <row r="455" spans="2:15" x14ac:dyDescent="0.2">
      <c r="B455" s="244"/>
      <c r="C455" s="244"/>
      <c r="D455" s="244"/>
      <c r="E455" s="244"/>
      <c r="F455" s="244"/>
      <c r="G455" s="244"/>
      <c r="H455" s="244"/>
      <c r="I455" s="244"/>
      <c r="J455" s="244"/>
      <c r="K455" s="244"/>
      <c r="L455" s="244"/>
      <c r="M455" s="244"/>
      <c r="N455" s="244"/>
      <c r="O455" s="244"/>
    </row>
    <row r="456" spans="2:15" x14ac:dyDescent="0.2">
      <c r="B456" s="244"/>
      <c r="C456" s="244"/>
      <c r="D456" s="244"/>
      <c r="E456" s="244"/>
      <c r="F456" s="244"/>
      <c r="G456" s="244"/>
      <c r="H456" s="244"/>
      <c r="I456" s="244"/>
      <c r="J456" s="244"/>
      <c r="K456" s="244"/>
      <c r="L456" s="244"/>
      <c r="M456" s="244"/>
      <c r="N456" s="244"/>
      <c r="O456" s="244"/>
    </row>
    <row r="457" spans="2:15" x14ac:dyDescent="0.2">
      <c r="B457" s="244"/>
      <c r="C457" s="244"/>
      <c r="D457" s="244"/>
      <c r="E457" s="244"/>
      <c r="F457" s="244"/>
      <c r="G457" s="244"/>
      <c r="H457" s="244"/>
      <c r="I457" s="244"/>
      <c r="J457" s="244"/>
      <c r="K457" s="244"/>
      <c r="L457" s="244"/>
      <c r="M457" s="244"/>
      <c r="N457" s="244"/>
      <c r="O457" s="244"/>
    </row>
    <row r="458" spans="2:15" x14ac:dyDescent="0.2">
      <c r="B458" s="244"/>
      <c r="C458" s="244"/>
      <c r="D458" s="244"/>
      <c r="E458" s="244"/>
      <c r="F458" s="244"/>
      <c r="G458" s="244"/>
      <c r="H458" s="244"/>
      <c r="I458" s="244"/>
      <c r="J458" s="244"/>
      <c r="K458" s="244"/>
      <c r="L458" s="244"/>
      <c r="M458" s="244"/>
      <c r="N458" s="244"/>
      <c r="O458" s="244"/>
    </row>
    <row r="459" spans="2:15" x14ac:dyDescent="0.2">
      <c r="B459" s="244"/>
      <c r="C459" s="244"/>
      <c r="D459" s="244"/>
      <c r="E459" s="244"/>
      <c r="F459" s="244"/>
      <c r="G459" s="244"/>
      <c r="H459" s="244"/>
      <c r="I459" s="244"/>
      <c r="J459" s="244"/>
      <c r="K459" s="244"/>
      <c r="L459" s="244"/>
      <c r="M459" s="244"/>
      <c r="N459" s="244"/>
      <c r="O459" s="244"/>
    </row>
    <row r="460" spans="2:15" x14ac:dyDescent="0.2">
      <c r="B460" s="244"/>
      <c r="C460" s="244"/>
      <c r="D460" s="244"/>
      <c r="E460" s="244"/>
      <c r="F460" s="244"/>
      <c r="G460" s="244"/>
      <c r="H460" s="244"/>
      <c r="I460" s="244"/>
      <c r="J460" s="244"/>
      <c r="K460" s="244"/>
      <c r="L460" s="244"/>
      <c r="M460" s="244"/>
      <c r="N460" s="244"/>
      <c r="O460" s="244"/>
    </row>
    <row r="461" spans="2:15" x14ac:dyDescent="0.2">
      <c r="B461" s="244"/>
      <c r="C461" s="244"/>
      <c r="D461" s="244"/>
      <c r="E461" s="244"/>
      <c r="F461" s="244"/>
      <c r="G461" s="244"/>
      <c r="H461" s="244"/>
      <c r="I461" s="244"/>
      <c r="J461" s="244"/>
      <c r="K461" s="244"/>
      <c r="L461" s="244"/>
      <c r="M461" s="244"/>
      <c r="N461" s="244"/>
      <c r="O461" s="244"/>
    </row>
    <row r="462" spans="2:15" x14ac:dyDescent="0.2">
      <c r="B462" s="244"/>
      <c r="C462" s="244"/>
      <c r="D462" s="244"/>
      <c r="E462" s="244"/>
      <c r="F462" s="244"/>
      <c r="G462" s="244"/>
      <c r="H462" s="244"/>
      <c r="I462" s="244"/>
      <c r="J462" s="244"/>
      <c r="K462" s="244"/>
      <c r="L462" s="244"/>
      <c r="M462" s="244"/>
      <c r="N462" s="244"/>
      <c r="O462" s="244"/>
    </row>
    <row r="463" spans="2:15" x14ac:dyDescent="0.2">
      <c r="B463" s="244"/>
      <c r="C463" s="244"/>
      <c r="D463" s="244"/>
      <c r="E463" s="244"/>
      <c r="F463" s="244"/>
      <c r="G463" s="244"/>
      <c r="H463" s="244"/>
      <c r="I463" s="244"/>
      <c r="J463" s="244"/>
      <c r="K463" s="244"/>
      <c r="L463" s="244"/>
      <c r="M463" s="244"/>
      <c r="N463" s="244"/>
      <c r="O463" s="244"/>
    </row>
    <row r="464" spans="2:15" x14ac:dyDescent="0.2">
      <c r="B464" s="244"/>
      <c r="C464" s="244"/>
      <c r="D464" s="244"/>
      <c r="E464" s="244"/>
      <c r="F464" s="244"/>
      <c r="G464" s="244"/>
      <c r="H464" s="244"/>
      <c r="I464" s="244"/>
      <c r="J464" s="244"/>
      <c r="K464" s="244"/>
      <c r="L464" s="244"/>
      <c r="M464" s="244"/>
      <c r="N464" s="244"/>
      <c r="O464" s="244"/>
    </row>
    <row r="465" spans="2:15" x14ac:dyDescent="0.2">
      <c r="B465" s="244"/>
      <c r="C465" s="244"/>
      <c r="D465" s="244"/>
      <c r="E465" s="244"/>
      <c r="F465" s="244"/>
      <c r="G465" s="244"/>
      <c r="H465" s="244"/>
      <c r="I465" s="244"/>
      <c r="J465" s="244"/>
      <c r="K465" s="244"/>
      <c r="L465" s="244"/>
      <c r="M465" s="244"/>
      <c r="N465" s="244"/>
      <c r="O465" s="244"/>
    </row>
    <row r="466" spans="2:15" x14ac:dyDescent="0.2">
      <c r="B466" s="244"/>
      <c r="C466" s="244"/>
      <c r="D466" s="244"/>
      <c r="E466" s="244"/>
      <c r="F466" s="244"/>
      <c r="G466" s="244"/>
      <c r="H466" s="244"/>
      <c r="I466" s="244"/>
      <c r="J466" s="244"/>
      <c r="K466" s="244"/>
      <c r="L466" s="244"/>
      <c r="M466" s="244"/>
      <c r="N466" s="244"/>
      <c r="O466" s="244"/>
    </row>
    <row r="467" spans="2:15" x14ac:dyDescent="0.2">
      <c r="B467" s="244"/>
      <c r="C467" s="244"/>
      <c r="D467" s="244"/>
      <c r="E467" s="244"/>
      <c r="F467" s="244"/>
      <c r="G467" s="244"/>
      <c r="H467" s="244"/>
      <c r="I467" s="244"/>
      <c r="J467" s="244"/>
      <c r="K467" s="244"/>
      <c r="L467" s="244"/>
      <c r="M467" s="244"/>
      <c r="N467" s="244"/>
      <c r="O467" s="244"/>
    </row>
    <row r="468" spans="2:15" x14ac:dyDescent="0.2">
      <c r="B468" s="244"/>
      <c r="C468" s="244"/>
      <c r="D468" s="244"/>
      <c r="E468" s="244"/>
      <c r="F468" s="244"/>
      <c r="G468" s="244"/>
      <c r="H468" s="244"/>
      <c r="I468" s="244"/>
      <c r="J468" s="244"/>
      <c r="K468" s="244"/>
      <c r="L468" s="244"/>
      <c r="M468" s="244"/>
      <c r="N468" s="244"/>
      <c r="O468" s="244"/>
    </row>
    <row r="469" spans="2:15" x14ac:dyDescent="0.2">
      <c r="B469" s="244"/>
      <c r="C469" s="244"/>
      <c r="D469" s="244"/>
      <c r="E469" s="244"/>
      <c r="F469" s="244"/>
      <c r="G469" s="244"/>
      <c r="H469" s="244"/>
      <c r="I469" s="244"/>
      <c r="J469" s="244"/>
      <c r="K469" s="244"/>
      <c r="L469" s="244"/>
      <c r="M469" s="244"/>
      <c r="N469" s="244"/>
      <c r="O469" s="244"/>
    </row>
    <row r="470" spans="2:15" x14ac:dyDescent="0.2">
      <c r="B470" s="244"/>
      <c r="C470" s="244"/>
      <c r="D470" s="244"/>
      <c r="E470" s="244"/>
      <c r="F470" s="244"/>
      <c r="G470" s="244"/>
      <c r="H470" s="244"/>
      <c r="I470" s="244"/>
      <c r="J470" s="244"/>
      <c r="K470" s="244"/>
      <c r="L470" s="244"/>
      <c r="M470" s="244"/>
      <c r="N470" s="244"/>
      <c r="O470" s="244"/>
    </row>
    <row r="471" spans="2:15" x14ac:dyDescent="0.2">
      <c r="B471" s="244"/>
      <c r="C471" s="244"/>
      <c r="D471" s="244"/>
      <c r="E471" s="244"/>
      <c r="F471" s="244"/>
      <c r="G471" s="244"/>
      <c r="H471" s="244"/>
      <c r="I471" s="244"/>
      <c r="J471" s="244"/>
      <c r="K471" s="244"/>
      <c r="L471" s="244"/>
      <c r="M471" s="244"/>
      <c r="N471" s="244"/>
      <c r="O471" s="244"/>
    </row>
    <row r="472" spans="2:15" x14ac:dyDescent="0.2">
      <c r="B472" s="244"/>
      <c r="C472" s="244"/>
      <c r="D472" s="244"/>
      <c r="E472" s="244"/>
      <c r="F472" s="244"/>
      <c r="G472" s="244"/>
      <c r="H472" s="244"/>
      <c r="I472" s="244"/>
      <c r="J472" s="244"/>
      <c r="K472" s="244"/>
      <c r="L472" s="244"/>
      <c r="M472" s="244"/>
      <c r="N472" s="244"/>
      <c r="O472" s="244"/>
    </row>
    <row r="473" spans="2:15" x14ac:dyDescent="0.2">
      <c r="B473" s="244"/>
      <c r="C473" s="244"/>
      <c r="D473" s="244"/>
      <c r="E473" s="244"/>
      <c r="F473" s="244"/>
      <c r="G473" s="244"/>
      <c r="H473" s="244"/>
      <c r="I473" s="244"/>
      <c r="J473" s="244"/>
      <c r="K473" s="244"/>
      <c r="L473" s="244"/>
      <c r="M473" s="244"/>
      <c r="N473" s="244"/>
      <c r="O473" s="244"/>
    </row>
    <row r="474" spans="2:15" x14ac:dyDescent="0.2">
      <c r="B474" s="244"/>
      <c r="C474" s="244"/>
      <c r="D474" s="244"/>
      <c r="E474" s="244"/>
      <c r="F474" s="244"/>
      <c r="G474" s="244"/>
      <c r="H474" s="244"/>
      <c r="I474" s="244"/>
      <c r="J474" s="244"/>
      <c r="K474" s="244"/>
      <c r="L474" s="244"/>
      <c r="M474" s="244"/>
      <c r="N474" s="244"/>
      <c r="O474" s="244"/>
    </row>
    <row r="475" spans="2:15" x14ac:dyDescent="0.2">
      <c r="B475" s="244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44"/>
      <c r="N475" s="244"/>
      <c r="O475" s="244"/>
    </row>
    <row r="476" spans="2:15" x14ac:dyDescent="0.2">
      <c r="B476" s="244"/>
      <c r="C476" s="244"/>
      <c r="D476" s="244"/>
      <c r="E476" s="244"/>
      <c r="F476" s="244"/>
      <c r="G476" s="244"/>
      <c r="H476" s="244"/>
      <c r="I476" s="244"/>
      <c r="J476" s="244"/>
      <c r="K476" s="244"/>
      <c r="L476" s="244"/>
      <c r="M476" s="244"/>
      <c r="N476" s="244"/>
      <c r="O476" s="244"/>
    </row>
    <row r="477" spans="2:15" x14ac:dyDescent="0.2">
      <c r="B477" s="244"/>
      <c r="C477" s="244"/>
      <c r="D477" s="244"/>
      <c r="E477" s="244"/>
      <c r="F477" s="244"/>
      <c r="G477" s="244"/>
      <c r="H477" s="244"/>
      <c r="I477" s="244"/>
      <c r="J477" s="244"/>
      <c r="K477" s="244"/>
      <c r="L477" s="244"/>
      <c r="M477" s="244"/>
      <c r="N477" s="244"/>
      <c r="O477" s="244"/>
    </row>
    <row r="478" spans="2:15" x14ac:dyDescent="0.2">
      <c r="B478" s="244"/>
      <c r="C478" s="244"/>
      <c r="D478" s="244"/>
      <c r="E478" s="244"/>
      <c r="F478" s="244"/>
      <c r="G478" s="244"/>
      <c r="H478" s="244"/>
      <c r="I478" s="244"/>
      <c r="J478" s="244"/>
      <c r="K478" s="244"/>
      <c r="L478" s="244"/>
      <c r="M478" s="244"/>
      <c r="N478" s="244"/>
      <c r="O478" s="244"/>
    </row>
    <row r="479" spans="2:15" x14ac:dyDescent="0.2">
      <c r="B479" s="244"/>
      <c r="C479" s="244"/>
      <c r="D479" s="244"/>
      <c r="E479" s="244"/>
      <c r="F479" s="244"/>
      <c r="G479" s="244"/>
      <c r="H479" s="244"/>
      <c r="I479" s="244"/>
      <c r="J479" s="244"/>
      <c r="K479" s="244"/>
      <c r="L479" s="244"/>
      <c r="M479" s="244"/>
      <c r="N479" s="244"/>
      <c r="O479" s="244"/>
    </row>
    <row r="480" spans="2:15" x14ac:dyDescent="0.2">
      <c r="B480" s="244"/>
      <c r="C480" s="244"/>
      <c r="D480" s="244"/>
      <c r="E480" s="244"/>
      <c r="F480" s="244"/>
      <c r="G480" s="244"/>
      <c r="H480" s="244"/>
      <c r="I480" s="244"/>
      <c r="J480" s="244"/>
      <c r="K480" s="244"/>
      <c r="L480" s="244"/>
      <c r="M480" s="244"/>
      <c r="N480" s="244"/>
      <c r="O480" s="244"/>
    </row>
    <row r="481" spans="2:15" x14ac:dyDescent="0.2">
      <c r="B481" s="244"/>
      <c r="C481" s="244"/>
      <c r="D481" s="244"/>
      <c r="E481" s="244"/>
      <c r="F481" s="244"/>
      <c r="G481" s="244"/>
      <c r="H481" s="244"/>
      <c r="I481" s="244"/>
      <c r="J481" s="244"/>
      <c r="K481" s="244"/>
      <c r="L481" s="244"/>
      <c r="M481" s="244"/>
      <c r="N481" s="244"/>
      <c r="O481" s="244"/>
    </row>
    <row r="482" spans="2:15" x14ac:dyDescent="0.2">
      <c r="B482" s="244"/>
      <c r="C482" s="244"/>
      <c r="D482" s="244"/>
      <c r="E482" s="244"/>
      <c r="F482" s="244"/>
      <c r="G482" s="244"/>
      <c r="H482" s="244"/>
      <c r="I482" s="244"/>
      <c r="J482" s="244"/>
      <c r="K482" s="244"/>
      <c r="L482" s="244"/>
      <c r="M482" s="244"/>
      <c r="N482" s="244"/>
      <c r="O482" s="244"/>
    </row>
    <row r="483" spans="2:15" x14ac:dyDescent="0.2">
      <c r="B483" s="244"/>
      <c r="C483" s="244"/>
      <c r="D483" s="244"/>
      <c r="E483" s="244"/>
      <c r="F483" s="244"/>
      <c r="G483" s="244"/>
      <c r="H483" s="244"/>
      <c r="I483" s="244"/>
      <c r="J483" s="244"/>
      <c r="K483" s="244"/>
      <c r="L483" s="244"/>
      <c r="M483" s="244"/>
      <c r="N483" s="244"/>
      <c r="O483" s="244"/>
    </row>
    <row r="484" spans="2:15" x14ac:dyDescent="0.2">
      <c r="B484" s="244"/>
      <c r="C484" s="244"/>
      <c r="D484" s="244"/>
      <c r="E484" s="244"/>
      <c r="F484" s="244"/>
      <c r="G484" s="244"/>
      <c r="H484" s="244"/>
      <c r="I484" s="244"/>
      <c r="J484" s="244"/>
      <c r="K484" s="244"/>
      <c r="L484" s="244"/>
      <c r="M484" s="244"/>
      <c r="N484" s="244"/>
      <c r="O484" s="244"/>
    </row>
    <row r="485" spans="2:15" x14ac:dyDescent="0.2">
      <c r="B485" s="244"/>
      <c r="C485" s="244"/>
      <c r="D485" s="244"/>
      <c r="E485" s="244"/>
      <c r="F485" s="244"/>
      <c r="G485" s="244"/>
      <c r="H485" s="244"/>
      <c r="I485" s="244"/>
      <c r="J485" s="244"/>
      <c r="K485" s="244"/>
      <c r="L485" s="244"/>
      <c r="M485" s="244"/>
      <c r="N485" s="244"/>
      <c r="O485" s="244"/>
    </row>
    <row r="486" spans="2:15" x14ac:dyDescent="0.2">
      <c r="B486" s="244"/>
      <c r="C486" s="244"/>
      <c r="D486" s="244"/>
      <c r="E486" s="244"/>
      <c r="F486" s="244"/>
      <c r="G486" s="244"/>
      <c r="H486" s="244"/>
      <c r="I486" s="244"/>
      <c r="J486" s="244"/>
      <c r="K486" s="244"/>
      <c r="L486" s="244"/>
      <c r="M486" s="244"/>
      <c r="N486" s="244"/>
      <c r="O486" s="244"/>
    </row>
    <row r="487" spans="2:15" x14ac:dyDescent="0.2">
      <c r="B487" s="244"/>
      <c r="C487" s="244"/>
      <c r="D487" s="244"/>
      <c r="E487" s="244"/>
      <c r="F487" s="244"/>
      <c r="G487" s="244"/>
      <c r="H487" s="244"/>
      <c r="I487" s="244"/>
      <c r="J487" s="244"/>
      <c r="K487" s="244"/>
      <c r="L487" s="244"/>
      <c r="M487" s="244"/>
      <c r="N487" s="244"/>
      <c r="O487" s="244"/>
    </row>
    <row r="488" spans="2:15" x14ac:dyDescent="0.2">
      <c r="B488" s="244"/>
      <c r="C488" s="244"/>
      <c r="D488" s="244"/>
      <c r="E488" s="244"/>
      <c r="F488" s="244"/>
      <c r="G488" s="244"/>
      <c r="H488" s="244"/>
      <c r="I488" s="244"/>
      <c r="J488" s="244"/>
      <c r="K488" s="244"/>
      <c r="L488" s="244"/>
      <c r="M488" s="244"/>
      <c r="N488" s="244"/>
      <c r="O488" s="244"/>
    </row>
    <row r="489" spans="2:15" x14ac:dyDescent="0.2">
      <c r="B489" s="244"/>
      <c r="C489" s="244"/>
      <c r="D489" s="244"/>
      <c r="E489" s="244"/>
      <c r="F489" s="244"/>
      <c r="G489" s="244"/>
      <c r="H489" s="244"/>
      <c r="I489" s="244"/>
      <c r="J489" s="244"/>
      <c r="K489" s="244"/>
      <c r="L489" s="244"/>
      <c r="M489" s="244"/>
      <c r="N489" s="244"/>
      <c r="O489" s="244"/>
    </row>
    <row r="490" spans="2:15" x14ac:dyDescent="0.2">
      <c r="B490" s="244"/>
      <c r="C490" s="244"/>
      <c r="D490" s="244"/>
      <c r="E490" s="244"/>
      <c r="F490" s="244"/>
      <c r="G490" s="244"/>
      <c r="H490" s="244"/>
      <c r="I490" s="244"/>
      <c r="J490" s="244"/>
      <c r="K490" s="244"/>
      <c r="L490" s="244"/>
      <c r="M490" s="244"/>
      <c r="N490" s="244"/>
      <c r="O490" s="244"/>
    </row>
    <row r="491" spans="2:15" x14ac:dyDescent="0.2">
      <c r="B491" s="244"/>
      <c r="C491" s="244"/>
      <c r="D491" s="244"/>
      <c r="E491" s="244"/>
      <c r="F491" s="244"/>
      <c r="G491" s="244"/>
      <c r="H491" s="244"/>
      <c r="I491" s="244"/>
      <c r="J491" s="244"/>
      <c r="K491" s="244"/>
      <c r="L491" s="244"/>
      <c r="M491" s="244"/>
      <c r="N491" s="244"/>
      <c r="O491" s="244"/>
    </row>
    <row r="492" spans="2:15" x14ac:dyDescent="0.2">
      <c r="B492" s="244"/>
      <c r="C492" s="244"/>
      <c r="D492" s="244"/>
      <c r="E492" s="244"/>
      <c r="F492" s="244"/>
      <c r="G492" s="244"/>
      <c r="H492" s="244"/>
      <c r="I492" s="244"/>
      <c r="J492" s="244"/>
      <c r="K492" s="244"/>
      <c r="L492" s="244"/>
      <c r="M492" s="244"/>
      <c r="N492" s="244"/>
      <c r="O492" s="244"/>
    </row>
    <row r="493" spans="2:15" x14ac:dyDescent="0.2">
      <c r="B493" s="244"/>
      <c r="C493" s="244"/>
      <c r="D493" s="244"/>
      <c r="E493" s="244"/>
      <c r="F493" s="244"/>
      <c r="G493" s="244"/>
      <c r="H493" s="244"/>
      <c r="I493" s="244"/>
      <c r="J493" s="244"/>
      <c r="K493" s="244"/>
      <c r="L493" s="244"/>
      <c r="M493" s="244"/>
      <c r="N493" s="244"/>
      <c r="O493" s="244"/>
    </row>
    <row r="494" spans="2:15" x14ac:dyDescent="0.2">
      <c r="B494" s="244"/>
      <c r="C494" s="244"/>
      <c r="D494" s="244"/>
      <c r="E494" s="244"/>
      <c r="F494" s="244"/>
      <c r="G494" s="244"/>
      <c r="H494" s="244"/>
      <c r="I494" s="244"/>
      <c r="J494" s="244"/>
      <c r="K494" s="244"/>
      <c r="L494" s="244"/>
      <c r="M494" s="244"/>
      <c r="N494" s="244"/>
      <c r="O494" s="244"/>
    </row>
    <row r="495" spans="2:15" x14ac:dyDescent="0.2">
      <c r="B495" s="244"/>
      <c r="C495" s="244"/>
      <c r="D495" s="244"/>
      <c r="E495" s="244"/>
      <c r="F495" s="244"/>
      <c r="G495" s="244"/>
      <c r="H495" s="244"/>
      <c r="I495" s="244"/>
      <c r="J495" s="244"/>
      <c r="K495" s="244"/>
      <c r="L495" s="244"/>
      <c r="M495" s="244"/>
      <c r="N495" s="244"/>
      <c r="O495" s="244"/>
    </row>
    <row r="496" spans="2:15" x14ac:dyDescent="0.2">
      <c r="B496" s="244"/>
      <c r="C496" s="244"/>
      <c r="D496" s="244"/>
      <c r="E496" s="244"/>
      <c r="F496" s="244"/>
      <c r="G496" s="244"/>
      <c r="H496" s="244"/>
      <c r="I496" s="244"/>
      <c r="J496" s="244"/>
      <c r="K496" s="244"/>
      <c r="L496" s="244"/>
      <c r="M496" s="244"/>
      <c r="N496" s="244"/>
      <c r="O496" s="244"/>
    </row>
    <row r="497" spans="2:15" x14ac:dyDescent="0.2">
      <c r="B497" s="244"/>
      <c r="C497" s="244"/>
      <c r="D497" s="244"/>
      <c r="E497" s="244"/>
      <c r="F497" s="244"/>
      <c r="G497" s="244"/>
      <c r="H497" s="244"/>
      <c r="I497" s="244"/>
      <c r="J497" s="244"/>
      <c r="K497" s="244"/>
      <c r="L497" s="244"/>
      <c r="M497" s="244"/>
      <c r="N497" s="244"/>
      <c r="O497" s="244"/>
    </row>
    <row r="498" spans="2:15" x14ac:dyDescent="0.2">
      <c r="B498" s="244"/>
      <c r="C498" s="244"/>
      <c r="D498" s="244"/>
      <c r="E498" s="244"/>
      <c r="F498" s="244"/>
      <c r="G498" s="244"/>
      <c r="H498" s="244"/>
      <c r="I498" s="244"/>
      <c r="J498" s="244"/>
      <c r="K498" s="244"/>
      <c r="L498" s="244"/>
      <c r="M498" s="244"/>
      <c r="N498" s="244"/>
      <c r="O498" s="244"/>
    </row>
    <row r="499" spans="2:15" x14ac:dyDescent="0.2">
      <c r="B499" s="244"/>
      <c r="C499" s="244"/>
      <c r="D499" s="244"/>
      <c r="E499" s="244"/>
      <c r="F499" s="244"/>
      <c r="G499" s="244"/>
      <c r="H499" s="244"/>
      <c r="I499" s="244"/>
      <c r="J499" s="244"/>
      <c r="K499" s="244"/>
      <c r="L499" s="244"/>
      <c r="M499" s="244"/>
      <c r="N499" s="244"/>
      <c r="O499" s="244"/>
    </row>
    <row r="500" spans="2:15" x14ac:dyDescent="0.2">
      <c r="B500" s="244"/>
      <c r="C500" s="244"/>
      <c r="D500" s="244"/>
      <c r="E500" s="244"/>
      <c r="F500" s="244"/>
      <c r="G500" s="244"/>
      <c r="H500" s="244"/>
      <c r="I500" s="244"/>
      <c r="J500" s="244"/>
      <c r="K500" s="244"/>
      <c r="L500" s="244"/>
      <c r="M500" s="244"/>
      <c r="N500" s="244"/>
      <c r="O500" s="244"/>
    </row>
  </sheetData>
  <mergeCells count="18">
    <mergeCell ref="I6:N6"/>
    <mergeCell ref="I1:N1"/>
    <mergeCell ref="I2:N2"/>
    <mergeCell ref="I3:N3"/>
    <mergeCell ref="I4:N4"/>
    <mergeCell ref="I5:N5"/>
    <mergeCell ref="A8:N8"/>
    <mergeCell ref="A9:N9"/>
    <mergeCell ref="A10:N10"/>
    <mergeCell ref="A13:A14"/>
    <mergeCell ref="B13:B14"/>
    <mergeCell ref="C13:D13"/>
    <mergeCell ref="F13:N13"/>
    <mergeCell ref="C15:D15"/>
    <mergeCell ref="F15:N15"/>
    <mergeCell ref="B17:D17"/>
    <mergeCell ref="B386:D386"/>
    <mergeCell ref="B420:N421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06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78"/>
  <sheetViews>
    <sheetView view="pageBreakPreview" topLeftCell="A282" zoomScale="60" zoomScaleNormal="70" workbookViewId="0">
      <selection activeCell="F291" sqref="F291"/>
    </sheetView>
  </sheetViews>
  <sheetFormatPr defaultRowHeight="12.75" x14ac:dyDescent="0.2"/>
  <cols>
    <col min="1" max="1" width="5.7109375" customWidth="1"/>
    <col min="2" max="2" width="63.42578125" customWidth="1"/>
    <col min="3" max="3" width="14.42578125" customWidth="1"/>
    <col min="4" max="4" width="7.7109375" customWidth="1"/>
    <col min="5" max="5" width="0.140625" customWidth="1"/>
    <col min="6" max="8" width="18.28515625" customWidth="1"/>
    <col min="9" max="13" width="18" customWidth="1"/>
    <col min="14" max="16" width="26.5703125" customWidth="1"/>
    <col min="17" max="17" width="18.85546875" customWidth="1"/>
  </cols>
  <sheetData>
    <row r="1" spans="1:16" ht="18" customHeight="1" x14ac:dyDescent="0.25">
      <c r="B1" s="1"/>
      <c r="C1" s="1"/>
      <c r="D1" s="1"/>
      <c r="E1" s="1"/>
      <c r="F1" s="1"/>
      <c r="G1" s="1"/>
      <c r="H1" s="1"/>
      <c r="I1" s="440" t="s">
        <v>0</v>
      </c>
      <c r="J1" s="440"/>
      <c r="K1" s="440"/>
      <c r="L1" s="440"/>
      <c r="M1" s="440"/>
      <c r="N1" s="440"/>
      <c r="O1" s="137"/>
      <c r="P1" s="137"/>
    </row>
    <row r="2" spans="1:16" ht="16.149999999999999" customHeight="1" x14ac:dyDescent="0.25">
      <c r="A2" s="2"/>
      <c r="B2" s="3"/>
      <c r="C2" s="3"/>
      <c r="D2" s="3"/>
      <c r="E2" s="3"/>
      <c r="F2" s="3"/>
      <c r="G2" s="3"/>
      <c r="H2" s="3"/>
      <c r="I2" s="440" t="s">
        <v>1</v>
      </c>
      <c r="J2" s="440"/>
      <c r="K2" s="440"/>
      <c r="L2" s="440"/>
      <c r="M2" s="440"/>
      <c r="N2" s="440"/>
      <c r="O2" s="137"/>
      <c r="P2" s="137"/>
    </row>
    <row r="3" spans="1:16" ht="15" customHeight="1" x14ac:dyDescent="0.25">
      <c r="A3" s="2"/>
      <c r="B3" s="3"/>
      <c r="C3" s="3"/>
      <c r="D3" s="3"/>
      <c r="E3" s="3"/>
      <c r="F3" s="3"/>
      <c r="G3" s="3"/>
      <c r="H3" s="3"/>
      <c r="I3" s="440" t="s">
        <v>2</v>
      </c>
      <c r="J3" s="440"/>
      <c r="K3" s="440"/>
      <c r="L3" s="440"/>
      <c r="M3" s="440"/>
      <c r="N3" s="440"/>
      <c r="O3" s="137"/>
      <c r="P3" s="137"/>
    </row>
    <row r="4" spans="1:16" ht="16.149999999999999" customHeight="1" x14ac:dyDescent="0.25">
      <c r="A4" s="2"/>
      <c r="B4" s="3"/>
      <c r="C4" s="3"/>
      <c r="D4" s="3"/>
      <c r="E4" s="3"/>
      <c r="F4" s="3"/>
      <c r="G4" s="3"/>
      <c r="H4" s="3"/>
      <c r="I4" s="440" t="s">
        <v>3</v>
      </c>
      <c r="J4" s="440"/>
      <c r="K4" s="440"/>
      <c r="L4" s="440"/>
      <c r="M4" s="440"/>
      <c r="N4" s="440"/>
      <c r="O4" s="137"/>
      <c r="P4" s="137"/>
    </row>
    <row r="5" spans="1:16" ht="16.149999999999999" customHeight="1" x14ac:dyDescent="0.25">
      <c r="A5" s="2"/>
      <c r="B5" s="3"/>
      <c r="C5" s="3"/>
      <c r="D5" s="3"/>
      <c r="E5" s="3"/>
      <c r="F5" s="3"/>
      <c r="G5" s="3"/>
      <c r="H5" s="3"/>
      <c r="I5" s="440" t="s">
        <v>460</v>
      </c>
      <c r="J5" s="440"/>
      <c r="K5" s="440"/>
      <c r="L5" s="440"/>
      <c r="M5" s="440"/>
      <c r="N5" s="440"/>
      <c r="O5" s="137"/>
      <c r="P5" s="137"/>
    </row>
    <row r="6" spans="1:16" ht="19.149999999999999" customHeight="1" x14ac:dyDescent="0.25">
      <c r="A6" s="2"/>
      <c r="B6" s="6"/>
      <c r="C6" s="6"/>
      <c r="D6" s="7"/>
      <c r="E6" s="7"/>
      <c r="F6" s="7"/>
      <c r="G6" s="7"/>
      <c r="H6" s="7"/>
      <c r="I6" s="440"/>
      <c r="J6" s="440"/>
      <c r="K6" s="440"/>
      <c r="L6" s="440"/>
      <c r="M6" s="440"/>
      <c r="N6" s="440"/>
      <c r="O6" s="137"/>
      <c r="P6" s="137"/>
    </row>
    <row r="7" spans="1:16" ht="37.15" customHeight="1" x14ac:dyDescent="0.25">
      <c r="A7" s="2"/>
      <c r="B7" s="8"/>
      <c r="C7" s="7"/>
      <c r="D7" s="7"/>
      <c r="E7" s="7"/>
      <c r="F7" s="7"/>
      <c r="G7" s="7"/>
      <c r="H7" s="7"/>
      <c r="I7" s="5"/>
      <c r="J7" s="5"/>
      <c r="K7" s="5"/>
      <c r="L7" s="5"/>
      <c r="M7" s="5"/>
      <c r="N7" s="4"/>
      <c r="O7" s="4"/>
      <c r="P7" s="4"/>
    </row>
    <row r="8" spans="1:16" ht="21.6" customHeight="1" x14ac:dyDescent="0.2">
      <c r="A8" s="417" t="s">
        <v>4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138"/>
      <c r="P8" s="138"/>
    </row>
    <row r="9" spans="1:16" ht="33" customHeight="1" x14ac:dyDescent="0.2">
      <c r="A9" s="417" t="s">
        <v>5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138"/>
      <c r="P9" s="138"/>
    </row>
    <row r="10" spans="1:16" ht="19.899999999999999" customHeight="1" x14ac:dyDescent="0.3">
      <c r="A10" s="454" t="s">
        <v>6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139"/>
      <c r="P10" s="139"/>
    </row>
    <row r="11" spans="1:16" ht="13.9" customHeight="1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3.9" customHeight="1" thickBot="1" x14ac:dyDescent="0.3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25.15" customHeight="1" x14ac:dyDescent="0.2">
      <c r="A13" s="425" t="s">
        <v>7</v>
      </c>
      <c r="B13" s="427" t="s">
        <v>8</v>
      </c>
      <c r="C13" s="427" t="s">
        <v>9</v>
      </c>
      <c r="D13" s="455"/>
      <c r="E13" s="101"/>
      <c r="F13" s="456"/>
      <c r="G13" s="457"/>
      <c r="H13" s="457"/>
      <c r="I13" s="427"/>
      <c r="J13" s="455"/>
      <c r="K13" s="455"/>
      <c r="L13" s="455"/>
      <c r="M13" s="455"/>
      <c r="N13" s="458"/>
      <c r="O13" s="90"/>
      <c r="P13" s="90"/>
    </row>
    <row r="14" spans="1:16" ht="24" customHeight="1" x14ac:dyDescent="0.2">
      <c r="A14" s="426"/>
      <c r="B14" s="428"/>
      <c r="C14" s="140" t="s">
        <v>10</v>
      </c>
      <c r="D14" s="11" t="s">
        <v>11</v>
      </c>
      <c r="E14" s="102"/>
      <c r="F14" s="12" t="s">
        <v>12</v>
      </c>
      <c r="G14" s="110" t="s">
        <v>13</v>
      </c>
      <c r="H14" s="110" t="s">
        <v>14</v>
      </c>
      <c r="I14" s="140" t="s">
        <v>15</v>
      </c>
      <c r="J14" s="110" t="s">
        <v>13</v>
      </c>
      <c r="K14" s="110" t="s">
        <v>14</v>
      </c>
      <c r="L14" s="11" t="s">
        <v>16</v>
      </c>
      <c r="M14" s="110" t="s">
        <v>13</v>
      </c>
      <c r="N14" s="13" t="s">
        <v>16</v>
      </c>
      <c r="O14" s="131"/>
      <c r="P14" s="90"/>
    </row>
    <row r="15" spans="1:16" ht="13.9" customHeight="1" thickBot="1" x14ac:dyDescent="0.25">
      <c r="A15" s="14" t="s">
        <v>17</v>
      </c>
      <c r="B15" s="15" t="s">
        <v>18</v>
      </c>
      <c r="C15" s="436" t="s">
        <v>19</v>
      </c>
      <c r="D15" s="437"/>
      <c r="E15" s="141"/>
      <c r="F15" s="438">
        <v>4</v>
      </c>
      <c r="G15" s="439"/>
      <c r="H15" s="439"/>
      <c r="I15" s="439"/>
      <c r="J15" s="439"/>
      <c r="K15" s="439"/>
      <c r="L15" s="439"/>
      <c r="M15" s="439"/>
      <c r="N15" s="444"/>
      <c r="O15" s="91"/>
      <c r="P15" s="91"/>
    </row>
    <row r="16" spans="1:16" ht="20.45" customHeight="1" thickBot="1" x14ac:dyDescent="0.25">
      <c r="A16" s="37"/>
      <c r="B16" s="38" t="s">
        <v>20</v>
      </c>
      <c r="C16" s="38"/>
      <c r="D16" s="39"/>
      <c r="E16" s="103"/>
      <c r="F16" s="40">
        <f t="shared" ref="F16:N16" si="0">F17+F343</f>
        <v>628942.69999999995</v>
      </c>
      <c r="G16" s="40">
        <f t="shared" si="0"/>
        <v>10980.3</v>
      </c>
      <c r="H16" s="40">
        <f t="shared" si="0"/>
        <v>639923</v>
      </c>
      <c r="I16" s="41">
        <f t="shared" si="0"/>
        <v>2501441.7000000007</v>
      </c>
      <c r="J16" s="40">
        <f t="shared" si="0"/>
        <v>0</v>
      </c>
      <c r="K16" s="41">
        <f t="shared" si="0"/>
        <v>2501441.7000000007</v>
      </c>
      <c r="L16" s="41">
        <f t="shared" si="0"/>
        <v>3130384.3999999994</v>
      </c>
      <c r="M16" s="40">
        <f t="shared" si="0"/>
        <v>10980.3</v>
      </c>
      <c r="N16" s="41">
        <f t="shared" si="0"/>
        <v>3141364.6999999993</v>
      </c>
      <c r="O16" s="130"/>
      <c r="P16" s="92"/>
    </row>
    <row r="17" spans="1:17" ht="32.450000000000003" customHeight="1" x14ac:dyDescent="0.2">
      <c r="A17" s="16" t="s">
        <v>21</v>
      </c>
      <c r="B17" s="459" t="s">
        <v>22</v>
      </c>
      <c r="C17" s="460"/>
      <c r="D17" s="460"/>
      <c r="E17" s="142"/>
      <c r="F17" s="17">
        <f t="shared" ref="F17:N17" si="1">F18+F33+F38+F73+F85+F123+F177+F210+F219+F267+F284+F300+F332+F336</f>
        <v>588284.6</v>
      </c>
      <c r="G17" s="17">
        <f t="shared" si="1"/>
        <v>10303.199999999999</v>
      </c>
      <c r="H17" s="17">
        <f t="shared" si="1"/>
        <v>598587.80000000005</v>
      </c>
      <c r="I17" s="18">
        <f t="shared" si="1"/>
        <v>2500673.6000000006</v>
      </c>
      <c r="J17" s="17">
        <f t="shared" si="1"/>
        <v>0</v>
      </c>
      <c r="K17" s="18">
        <f t="shared" si="1"/>
        <v>2500673.6000000006</v>
      </c>
      <c r="L17" s="17">
        <f t="shared" si="1"/>
        <v>3088958.1999999993</v>
      </c>
      <c r="M17" s="17">
        <f t="shared" si="1"/>
        <v>10303.199999999999</v>
      </c>
      <c r="N17" s="17">
        <f t="shared" si="1"/>
        <v>3099261.3999999994</v>
      </c>
      <c r="O17" s="93"/>
      <c r="P17" s="93"/>
    </row>
    <row r="18" spans="1:17" ht="22.15" customHeight="1" x14ac:dyDescent="0.2">
      <c r="A18" s="19" t="s">
        <v>23</v>
      </c>
      <c r="B18" s="20" t="s">
        <v>24</v>
      </c>
      <c r="C18" s="21" t="s">
        <v>25</v>
      </c>
      <c r="D18" s="22" t="s">
        <v>26</v>
      </c>
      <c r="E18" s="104"/>
      <c r="F18" s="23">
        <f t="shared" ref="F18:N18" si="2">F19+F24</f>
        <v>13832.1</v>
      </c>
      <c r="G18" s="23">
        <f t="shared" si="2"/>
        <v>77</v>
      </c>
      <c r="H18" s="23">
        <f t="shared" si="2"/>
        <v>13909.1</v>
      </c>
      <c r="I18" s="24">
        <f t="shared" si="2"/>
        <v>156</v>
      </c>
      <c r="J18" s="23">
        <f>J19+J24</f>
        <v>0</v>
      </c>
      <c r="K18" s="24">
        <f t="shared" si="2"/>
        <v>156</v>
      </c>
      <c r="L18" s="23">
        <f t="shared" si="2"/>
        <v>13988.1</v>
      </c>
      <c r="M18" s="23">
        <f t="shared" si="2"/>
        <v>77</v>
      </c>
      <c r="N18" s="23">
        <f t="shared" si="2"/>
        <v>14065.1</v>
      </c>
      <c r="O18" s="93"/>
      <c r="P18" s="93"/>
      <c r="Q18" s="25"/>
    </row>
    <row r="19" spans="1:17" ht="47.25" x14ac:dyDescent="0.2">
      <c r="A19" s="42"/>
      <c r="B19" s="43" t="s">
        <v>27</v>
      </c>
      <c r="C19" s="44" t="s">
        <v>28</v>
      </c>
      <c r="D19" s="45" t="s">
        <v>26</v>
      </c>
      <c r="E19" s="105"/>
      <c r="F19" s="46">
        <f>F20+F22</f>
        <v>2346.5</v>
      </c>
      <c r="G19" s="46">
        <f>G20+G22</f>
        <v>0</v>
      </c>
      <c r="H19" s="46">
        <f>H20+H22</f>
        <v>2346.5</v>
      </c>
      <c r="I19" s="47">
        <f>I20+I22</f>
        <v>0</v>
      </c>
      <c r="J19" s="88"/>
      <c r="K19" s="47">
        <f>K20+K22</f>
        <v>0</v>
      </c>
      <c r="L19" s="46">
        <f>L20+L22</f>
        <v>2346.5</v>
      </c>
      <c r="M19" s="46">
        <f>M20+M22</f>
        <v>0</v>
      </c>
      <c r="N19" s="46">
        <f>N20+N22</f>
        <v>2346.5</v>
      </c>
      <c r="O19" s="94"/>
      <c r="P19" s="94"/>
      <c r="Q19" s="48"/>
    </row>
    <row r="20" spans="1:17" ht="47.25" x14ac:dyDescent="0.2">
      <c r="A20" s="42"/>
      <c r="B20" s="43" t="s">
        <v>29</v>
      </c>
      <c r="C20" s="44" t="s">
        <v>30</v>
      </c>
      <c r="D20" s="45" t="s">
        <v>26</v>
      </c>
      <c r="E20" s="105"/>
      <c r="F20" s="46">
        <f>F21</f>
        <v>1500</v>
      </c>
      <c r="G20" s="46">
        <f>G21</f>
        <v>0</v>
      </c>
      <c r="H20" s="46">
        <f>H21</f>
        <v>1500</v>
      </c>
      <c r="I20" s="47">
        <f>I21</f>
        <v>0</v>
      </c>
      <c r="J20" s="88"/>
      <c r="K20" s="47">
        <f>K21</f>
        <v>0</v>
      </c>
      <c r="L20" s="46">
        <f>L21</f>
        <v>1500</v>
      </c>
      <c r="M20" s="46">
        <f>M21</f>
        <v>0</v>
      </c>
      <c r="N20" s="46">
        <f>N21</f>
        <v>1500</v>
      </c>
      <c r="O20" s="94"/>
      <c r="P20" s="94"/>
    </row>
    <row r="21" spans="1:17" ht="67.900000000000006" customHeight="1" x14ac:dyDescent="0.2">
      <c r="A21" s="42"/>
      <c r="B21" s="43" t="s">
        <v>31</v>
      </c>
      <c r="C21" s="44" t="s">
        <v>30</v>
      </c>
      <c r="D21" s="45" t="s">
        <v>32</v>
      </c>
      <c r="E21" s="105"/>
      <c r="F21" s="46">
        <v>1500</v>
      </c>
      <c r="G21" s="46"/>
      <c r="H21" s="46">
        <v>1500</v>
      </c>
      <c r="I21" s="47">
        <v>0</v>
      </c>
      <c r="J21" s="88"/>
      <c r="K21" s="47">
        <v>0</v>
      </c>
      <c r="L21" s="46">
        <v>1500</v>
      </c>
      <c r="M21" s="46"/>
      <c r="N21" s="46">
        <v>1500</v>
      </c>
      <c r="O21" s="94"/>
      <c r="P21" s="94"/>
    </row>
    <row r="22" spans="1:17" ht="36" customHeight="1" x14ac:dyDescent="0.2">
      <c r="A22" s="42"/>
      <c r="B22" s="43" t="s">
        <v>33</v>
      </c>
      <c r="C22" s="44" t="s">
        <v>34</v>
      </c>
      <c r="D22" s="45" t="s">
        <v>26</v>
      </c>
      <c r="E22" s="105"/>
      <c r="F22" s="46">
        <f>F23</f>
        <v>846.5</v>
      </c>
      <c r="G22" s="46">
        <f>G23</f>
        <v>0</v>
      </c>
      <c r="H22" s="46">
        <f>H23</f>
        <v>846.5</v>
      </c>
      <c r="I22" s="47">
        <f>I23</f>
        <v>0</v>
      </c>
      <c r="J22" s="88"/>
      <c r="K22" s="47">
        <f>K23</f>
        <v>0</v>
      </c>
      <c r="L22" s="46">
        <f>L23</f>
        <v>846.5</v>
      </c>
      <c r="M22" s="46">
        <f>M23</f>
        <v>0</v>
      </c>
      <c r="N22" s="46">
        <f>N23</f>
        <v>846.5</v>
      </c>
      <c r="O22" s="94"/>
      <c r="P22" s="94"/>
    </row>
    <row r="23" spans="1:17" ht="31.5" x14ac:dyDescent="0.2">
      <c r="A23" s="42"/>
      <c r="B23" s="43" t="s">
        <v>35</v>
      </c>
      <c r="C23" s="44" t="s">
        <v>34</v>
      </c>
      <c r="D23" s="45" t="s">
        <v>36</v>
      </c>
      <c r="E23" s="105"/>
      <c r="F23" s="46">
        <v>846.5</v>
      </c>
      <c r="G23" s="46"/>
      <c r="H23" s="46">
        <v>846.5</v>
      </c>
      <c r="I23" s="47">
        <v>0</v>
      </c>
      <c r="J23" s="88"/>
      <c r="K23" s="47">
        <v>0</v>
      </c>
      <c r="L23" s="46">
        <v>846.5</v>
      </c>
      <c r="M23" s="46"/>
      <c r="N23" s="46">
        <v>846.5</v>
      </c>
      <c r="O23" s="94"/>
      <c r="P23" s="94"/>
    </row>
    <row r="24" spans="1:17" ht="47.25" x14ac:dyDescent="0.2">
      <c r="A24" s="42"/>
      <c r="B24" s="43" t="s">
        <v>37</v>
      </c>
      <c r="C24" s="44" t="s">
        <v>38</v>
      </c>
      <c r="D24" s="45" t="s">
        <v>26</v>
      </c>
      <c r="E24" s="105"/>
      <c r="F24" s="46">
        <f>F25+F29</f>
        <v>11485.6</v>
      </c>
      <c r="G24" s="46">
        <f>G25+G29</f>
        <v>77</v>
      </c>
      <c r="H24" s="46">
        <f>H25+H29</f>
        <v>11562.6</v>
      </c>
      <c r="I24" s="47">
        <f>I25+I29+I31</f>
        <v>156</v>
      </c>
      <c r="J24" s="88">
        <f>SUM(J31)</f>
        <v>0</v>
      </c>
      <c r="K24" s="47">
        <f>K25+K29+K31</f>
        <v>156</v>
      </c>
      <c r="L24" s="46">
        <f>L25+L29+L32</f>
        <v>11641.6</v>
      </c>
      <c r="M24" s="46">
        <f>M25+M29+J24</f>
        <v>77</v>
      </c>
      <c r="N24" s="46">
        <f>N25+N29+N32</f>
        <v>11718.6</v>
      </c>
      <c r="O24" s="94"/>
      <c r="P24" s="94"/>
    </row>
    <row r="25" spans="1:17" ht="31.5" x14ac:dyDescent="0.2">
      <c r="A25" s="42"/>
      <c r="B25" s="43" t="s">
        <v>39</v>
      </c>
      <c r="C25" s="44" t="s">
        <v>40</v>
      </c>
      <c r="D25" s="45" t="s">
        <v>26</v>
      </c>
      <c r="E25" s="105"/>
      <c r="F25" s="46">
        <f>F26+F27+F28</f>
        <v>10600.5</v>
      </c>
      <c r="G25" s="46">
        <f>G26+G27+G28</f>
        <v>77</v>
      </c>
      <c r="H25" s="46">
        <f>H26+H27+H28</f>
        <v>10677.5</v>
      </c>
      <c r="I25" s="47">
        <f>I26+I27+I28</f>
        <v>0</v>
      </c>
      <c r="J25" s="88">
        <f>SUM(I26)+J27</f>
        <v>0</v>
      </c>
      <c r="K25" s="47">
        <f>K26+K27+K28</f>
        <v>0</v>
      </c>
      <c r="L25" s="46">
        <f>L26+L27+L28</f>
        <v>10600.5</v>
      </c>
      <c r="M25" s="46">
        <f>M26+M27+M28</f>
        <v>77</v>
      </c>
      <c r="N25" s="46">
        <f>N26+N27+N28</f>
        <v>10677.5</v>
      </c>
      <c r="O25" s="94"/>
      <c r="P25" s="94"/>
    </row>
    <row r="26" spans="1:17" ht="67.900000000000006" customHeight="1" x14ac:dyDescent="0.2">
      <c r="A26" s="42"/>
      <c r="B26" s="43" t="s">
        <v>31</v>
      </c>
      <c r="C26" s="44" t="s">
        <v>40</v>
      </c>
      <c r="D26" s="45" t="s">
        <v>32</v>
      </c>
      <c r="E26" s="105"/>
      <c r="F26" s="46">
        <v>8018.2</v>
      </c>
      <c r="G26" s="46"/>
      <c r="H26" s="46">
        <f>SUM(F26)</f>
        <v>8018.2</v>
      </c>
      <c r="I26" s="47">
        <v>0</v>
      </c>
      <c r="J26" s="88"/>
      <c r="K26" s="47">
        <v>0</v>
      </c>
      <c r="L26" s="46">
        <f>SUM(F26)</f>
        <v>8018.2</v>
      </c>
      <c r="M26" s="46">
        <f>SUM(G26)</f>
        <v>0</v>
      </c>
      <c r="N26" s="46">
        <f>SUM(H26)</f>
        <v>8018.2</v>
      </c>
      <c r="O26" s="94"/>
      <c r="P26" s="94"/>
    </row>
    <row r="27" spans="1:17" ht="31.5" x14ac:dyDescent="0.2">
      <c r="A27" s="42"/>
      <c r="B27" s="43" t="s">
        <v>35</v>
      </c>
      <c r="C27" s="44" t="s">
        <v>40</v>
      </c>
      <c r="D27" s="45" t="s">
        <v>36</v>
      </c>
      <c r="E27" s="105"/>
      <c r="F27" s="46">
        <v>2578.6</v>
      </c>
      <c r="G27" s="46">
        <v>77</v>
      </c>
      <c r="H27" s="46">
        <f>SUM(F27)+G27</f>
        <v>2655.6</v>
      </c>
      <c r="I27" s="47">
        <v>0</v>
      </c>
      <c r="J27" s="88"/>
      <c r="K27" s="47">
        <f>SUM(J27)</f>
        <v>0</v>
      </c>
      <c r="L27" s="46">
        <f>SUM(F27)</f>
        <v>2578.6</v>
      </c>
      <c r="M27" s="46">
        <f>SUM(G27+J27)</f>
        <v>77</v>
      </c>
      <c r="N27" s="46">
        <f>SUM(H27)</f>
        <v>2655.6</v>
      </c>
      <c r="O27" s="94"/>
      <c r="P27" s="94"/>
    </row>
    <row r="28" spans="1:17" ht="15.75" x14ac:dyDescent="0.2">
      <c r="A28" s="42"/>
      <c r="B28" s="43" t="s">
        <v>41</v>
      </c>
      <c r="C28" s="44" t="s">
        <v>40</v>
      </c>
      <c r="D28" s="45" t="s">
        <v>42</v>
      </c>
      <c r="E28" s="105"/>
      <c r="F28" s="46">
        <v>3.7</v>
      </c>
      <c r="G28" s="46"/>
      <c r="H28" s="46">
        <v>3.7</v>
      </c>
      <c r="I28" s="47">
        <v>0</v>
      </c>
      <c r="J28" s="88"/>
      <c r="K28" s="47">
        <v>0</v>
      </c>
      <c r="L28" s="46">
        <v>3.7</v>
      </c>
      <c r="M28" s="46"/>
      <c r="N28" s="46">
        <v>3.7</v>
      </c>
      <c r="O28" s="94"/>
      <c r="P28" s="94"/>
    </row>
    <row r="29" spans="1:17" ht="31.5" x14ac:dyDescent="0.2">
      <c r="A29" s="42"/>
      <c r="B29" s="43" t="s">
        <v>43</v>
      </c>
      <c r="C29" s="44" t="s">
        <v>44</v>
      </c>
      <c r="D29" s="45" t="s">
        <v>26</v>
      </c>
      <c r="E29" s="105"/>
      <c r="F29" s="46">
        <f>F30</f>
        <v>885.1</v>
      </c>
      <c r="G29" s="46">
        <f>G30</f>
        <v>0</v>
      </c>
      <c r="H29" s="46">
        <f>H30</f>
        <v>885.1</v>
      </c>
      <c r="I29" s="47">
        <f>I30</f>
        <v>0</v>
      </c>
      <c r="J29" s="88"/>
      <c r="K29" s="47">
        <f>K30</f>
        <v>0</v>
      </c>
      <c r="L29" s="46">
        <f>L30</f>
        <v>885.1</v>
      </c>
      <c r="M29" s="46">
        <f>M30</f>
        <v>0</v>
      </c>
      <c r="N29" s="46">
        <f>N30</f>
        <v>885.1</v>
      </c>
      <c r="O29" s="94"/>
      <c r="P29" s="94"/>
    </row>
    <row r="30" spans="1:17" ht="31.5" x14ac:dyDescent="0.2">
      <c r="A30" s="42"/>
      <c r="B30" s="43" t="s">
        <v>35</v>
      </c>
      <c r="C30" s="44" t="s">
        <v>44</v>
      </c>
      <c r="D30" s="45" t="s">
        <v>36</v>
      </c>
      <c r="E30" s="105"/>
      <c r="F30" s="46">
        <v>885.1</v>
      </c>
      <c r="G30" s="46"/>
      <c r="H30" s="46">
        <f>SUM(F30)</f>
        <v>885.1</v>
      </c>
      <c r="I30" s="47">
        <v>0</v>
      </c>
      <c r="J30" s="88"/>
      <c r="K30" s="47">
        <v>0</v>
      </c>
      <c r="L30" s="46">
        <f>SUM(F30)</f>
        <v>885.1</v>
      </c>
      <c r="M30" s="46">
        <f>SUM(G30)</f>
        <v>0</v>
      </c>
      <c r="N30" s="46">
        <f>SUM(H30)</f>
        <v>885.1</v>
      </c>
      <c r="O30" s="94"/>
      <c r="P30" s="94"/>
    </row>
    <row r="31" spans="1:17" ht="63" x14ac:dyDescent="0.2">
      <c r="A31" s="42"/>
      <c r="B31" s="129" t="s">
        <v>45</v>
      </c>
      <c r="C31" s="44" t="s">
        <v>46</v>
      </c>
      <c r="D31" s="45"/>
      <c r="E31" s="105"/>
      <c r="F31" s="46"/>
      <c r="G31" s="46"/>
      <c r="H31" s="46"/>
      <c r="I31" s="47">
        <f>SUM(I32)</f>
        <v>156</v>
      </c>
      <c r="J31" s="88">
        <f>SUM(J32)</f>
        <v>0</v>
      </c>
      <c r="K31" s="47">
        <f>SUM(I31)</f>
        <v>156</v>
      </c>
      <c r="L31" s="46">
        <f>SUM(I31)</f>
        <v>156</v>
      </c>
      <c r="M31" s="46"/>
      <c r="N31" s="46">
        <f>SUM(K31)</f>
        <v>156</v>
      </c>
      <c r="O31" s="94"/>
      <c r="P31" s="94"/>
    </row>
    <row r="32" spans="1:17" ht="31.5" x14ac:dyDescent="0.2">
      <c r="A32" s="42"/>
      <c r="B32" s="43" t="s">
        <v>35</v>
      </c>
      <c r="C32" s="44" t="s">
        <v>46</v>
      </c>
      <c r="D32" s="45" t="s">
        <v>36</v>
      </c>
      <c r="E32" s="105"/>
      <c r="F32" s="46"/>
      <c r="G32" s="46"/>
      <c r="H32" s="46"/>
      <c r="I32" s="47">
        <v>156</v>
      </c>
      <c r="J32" s="88"/>
      <c r="K32" s="47">
        <f>SUM(I32)</f>
        <v>156</v>
      </c>
      <c r="L32" s="46">
        <f>SUM(I32)</f>
        <v>156</v>
      </c>
      <c r="M32" s="46">
        <f>SUM(J32)</f>
        <v>0</v>
      </c>
      <c r="N32" s="46">
        <f>SUM(K32)</f>
        <v>156</v>
      </c>
      <c r="O32" s="94"/>
      <c r="P32" s="94"/>
    </row>
    <row r="33" spans="1:17" ht="31.5" x14ac:dyDescent="0.2">
      <c r="A33" s="19" t="s">
        <v>47</v>
      </c>
      <c r="B33" s="20" t="s">
        <v>48</v>
      </c>
      <c r="C33" s="21" t="s">
        <v>49</v>
      </c>
      <c r="D33" s="22" t="s">
        <v>26</v>
      </c>
      <c r="E33" s="104"/>
      <c r="F33" s="23">
        <f t="shared" ref="F33:N34" si="3">F34</f>
        <v>1813.8</v>
      </c>
      <c r="G33" s="23">
        <f t="shared" si="3"/>
        <v>0</v>
      </c>
      <c r="H33" s="23">
        <f t="shared" si="3"/>
        <v>1813.8</v>
      </c>
      <c r="I33" s="24">
        <f t="shared" si="3"/>
        <v>0</v>
      </c>
      <c r="J33" s="23">
        <f t="shared" si="3"/>
        <v>0</v>
      </c>
      <c r="K33" s="24">
        <f t="shared" si="3"/>
        <v>0</v>
      </c>
      <c r="L33" s="23">
        <f t="shared" si="3"/>
        <v>1813.8</v>
      </c>
      <c r="M33" s="23">
        <f t="shared" si="3"/>
        <v>0</v>
      </c>
      <c r="N33" s="23">
        <f t="shared" si="3"/>
        <v>1813.8</v>
      </c>
      <c r="O33" s="93"/>
      <c r="P33" s="93"/>
    </row>
    <row r="34" spans="1:17" ht="50.45" customHeight="1" x14ac:dyDescent="0.2">
      <c r="A34" s="42"/>
      <c r="B34" s="43" t="s">
        <v>50</v>
      </c>
      <c r="C34" s="44" t="s">
        <v>51</v>
      </c>
      <c r="D34" s="45" t="s">
        <v>26</v>
      </c>
      <c r="E34" s="105"/>
      <c r="F34" s="46">
        <f t="shared" si="3"/>
        <v>1813.8</v>
      </c>
      <c r="G34" s="46">
        <f t="shared" si="3"/>
        <v>0</v>
      </c>
      <c r="H34" s="46">
        <f t="shared" si="3"/>
        <v>1813.8</v>
      </c>
      <c r="I34" s="47">
        <f t="shared" si="3"/>
        <v>0</v>
      </c>
      <c r="J34" s="88"/>
      <c r="K34" s="47">
        <f t="shared" si="3"/>
        <v>0</v>
      </c>
      <c r="L34" s="46">
        <f t="shared" si="3"/>
        <v>1813.8</v>
      </c>
      <c r="M34" s="46">
        <f t="shared" si="3"/>
        <v>0</v>
      </c>
      <c r="N34" s="46">
        <f t="shared" si="3"/>
        <v>1813.8</v>
      </c>
      <c r="O34" s="94"/>
      <c r="P34" s="94"/>
    </row>
    <row r="35" spans="1:17" ht="36.6" customHeight="1" x14ac:dyDescent="0.2">
      <c r="A35" s="42"/>
      <c r="B35" s="43" t="s">
        <v>52</v>
      </c>
      <c r="C35" s="44" t="s">
        <v>53</v>
      </c>
      <c r="D35" s="45" t="s">
        <v>26</v>
      </c>
      <c r="E35" s="105"/>
      <c r="F35" s="46">
        <f>F36+F37</f>
        <v>1813.8</v>
      </c>
      <c r="G35" s="46">
        <f>G36+G37</f>
        <v>0</v>
      </c>
      <c r="H35" s="46">
        <f>H36+H37</f>
        <v>1813.8</v>
      </c>
      <c r="I35" s="47">
        <f>I36+I37</f>
        <v>0</v>
      </c>
      <c r="J35" s="88"/>
      <c r="K35" s="47">
        <f>K36+K37</f>
        <v>0</v>
      </c>
      <c r="L35" s="46">
        <f>L36+L37</f>
        <v>1813.8</v>
      </c>
      <c r="M35" s="46">
        <f>M36+M37</f>
        <v>0</v>
      </c>
      <c r="N35" s="46">
        <f>N36+N37</f>
        <v>1813.8</v>
      </c>
      <c r="O35" s="94"/>
      <c r="P35" s="94"/>
    </row>
    <row r="36" spans="1:17" ht="31.5" x14ac:dyDescent="0.2">
      <c r="A36" s="42"/>
      <c r="B36" s="43" t="s">
        <v>35</v>
      </c>
      <c r="C36" s="44" t="s">
        <v>53</v>
      </c>
      <c r="D36" s="45" t="s">
        <v>36</v>
      </c>
      <c r="E36" s="105"/>
      <c r="F36" s="46">
        <v>300</v>
      </c>
      <c r="G36" s="46"/>
      <c r="H36" s="46">
        <v>300</v>
      </c>
      <c r="I36" s="47"/>
      <c r="J36" s="88"/>
      <c r="K36" s="47"/>
      <c r="L36" s="46">
        <v>300</v>
      </c>
      <c r="M36" s="46"/>
      <c r="N36" s="46">
        <v>300</v>
      </c>
      <c r="O36" s="94"/>
      <c r="P36" s="94"/>
    </row>
    <row r="37" spans="1:17" ht="15.75" x14ac:dyDescent="0.2">
      <c r="A37" s="42"/>
      <c r="B37" s="43" t="s">
        <v>54</v>
      </c>
      <c r="C37" s="44" t="s">
        <v>53</v>
      </c>
      <c r="D37" s="45" t="s">
        <v>55</v>
      </c>
      <c r="E37" s="105"/>
      <c r="F37" s="46">
        <v>1513.8</v>
      </c>
      <c r="G37" s="46"/>
      <c r="H37" s="46">
        <v>1513.8</v>
      </c>
      <c r="I37" s="47"/>
      <c r="J37" s="88"/>
      <c r="K37" s="47"/>
      <c r="L37" s="46">
        <v>1513.8</v>
      </c>
      <c r="M37" s="46"/>
      <c r="N37" s="46">
        <v>1513.8</v>
      </c>
      <c r="O37" s="94"/>
      <c r="P37" s="94"/>
    </row>
    <row r="38" spans="1:17" ht="31.5" x14ac:dyDescent="0.2">
      <c r="A38" s="19" t="s">
        <v>56</v>
      </c>
      <c r="B38" s="20" t="s">
        <v>57</v>
      </c>
      <c r="C38" s="21" t="s">
        <v>58</v>
      </c>
      <c r="D38" s="22" t="s">
        <v>26</v>
      </c>
      <c r="E38" s="104"/>
      <c r="F38" s="23">
        <f t="shared" ref="F38:N38" si="4">F39+F47+F68</f>
        <v>137499.89999999997</v>
      </c>
      <c r="G38" s="23">
        <f>G39+G47+G68+G54</f>
        <v>600</v>
      </c>
      <c r="H38" s="23">
        <f t="shared" si="4"/>
        <v>138099.89999999997</v>
      </c>
      <c r="I38" s="24">
        <f t="shared" si="4"/>
        <v>5408.7</v>
      </c>
      <c r="J38" s="23">
        <f t="shared" si="4"/>
        <v>0</v>
      </c>
      <c r="K38" s="24">
        <f t="shared" si="4"/>
        <v>5408.7</v>
      </c>
      <c r="L38" s="23">
        <f t="shared" si="4"/>
        <v>142908.59999999998</v>
      </c>
      <c r="M38" s="23">
        <f t="shared" si="4"/>
        <v>600</v>
      </c>
      <c r="N38" s="23">
        <f t="shared" si="4"/>
        <v>143508.59999999998</v>
      </c>
      <c r="O38" s="93"/>
      <c r="P38" s="93"/>
      <c r="Q38" s="25"/>
    </row>
    <row r="39" spans="1:17" ht="15.75" x14ac:dyDescent="0.2">
      <c r="A39" s="49"/>
      <c r="B39" s="50" t="s">
        <v>59</v>
      </c>
      <c r="C39" s="51" t="s">
        <v>60</v>
      </c>
      <c r="D39" s="52" t="s">
        <v>26</v>
      </c>
      <c r="E39" s="106"/>
      <c r="F39" s="53">
        <f>F40</f>
        <v>6334.3</v>
      </c>
      <c r="G39" s="53">
        <f>G40</f>
        <v>0</v>
      </c>
      <c r="H39" s="53">
        <f>H40</f>
        <v>6334.3</v>
      </c>
      <c r="I39" s="54">
        <f>I40</f>
        <v>0</v>
      </c>
      <c r="J39" s="87"/>
      <c r="K39" s="54">
        <f>K40</f>
        <v>0</v>
      </c>
      <c r="L39" s="53">
        <f>L40</f>
        <v>6334.3</v>
      </c>
      <c r="M39" s="53">
        <f>M40</f>
        <v>0</v>
      </c>
      <c r="N39" s="53">
        <f>N40</f>
        <v>6334.3</v>
      </c>
      <c r="O39" s="95"/>
      <c r="P39" s="95"/>
    </row>
    <row r="40" spans="1:17" ht="15.75" x14ac:dyDescent="0.2">
      <c r="A40" s="42"/>
      <c r="B40" s="43" t="s">
        <v>61</v>
      </c>
      <c r="C40" s="44" t="s">
        <v>62</v>
      </c>
      <c r="D40" s="45" t="s">
        <v>26</v>
      </c>
      <c r="E40" s="105"/>
      <c r="F40" s="46">
        <f>F41+F43+F45</f>
        <v>6334.3</v>
      </c>
      <c r="G40" s="46">
        <f>G41+G43+G45</f>
        <v>0</v>
      </c>
      <c r="H40" s="46">
        <f>H41+H43+H45</f>
        <v>6334.3</v>
      </c>
      <c r="I40" s="47">
        <f>I41+I43+I45</f>
        <v>0</v>
      </c>
      <c r="J40" s="88"/>
      <c r="K40" s="47">
        <f>K41+K43+K45</f>
        <v>0</v>
      </c>
      <c r="L40" s="46">
        <f>L41+L43+L45</f>
        <v>6334.3</v>
      </c>
      <c r="M40" s="46">
        <f>M41+M43+M45</f>
        <v>0</v>
      </c>
      <c r="N40" s="46">
        <f>N41+N43+N45</f>
        <v>6334.3</v>
      </c>
      <c r="O40" s="94"/>
      <c r="P40" s="94"/>
    </row>
    <row r="41" spans="1:17" ht="15.75" x14ac:dyDescent="0.2">
      <c r="A41" s="42"/>
      <c r="B41" s="43" t="s">
        <v>63</v>
      </c>
      <c r="C41" s="44" t="s">
        <v>64</v>
      </c>
      <c r="D41" s="45" t="s">
        <v>26</v>
      </c>
      <c r="E41" s="105"/>
      <c r="F41" s="46">
        <f>F42</f>
        <v>6034.3</v>
      </c>
      <c r="G41" s="46">
        <f>G42</f>
        <v>0</v>
      </c>
      <c r="H41" s="46">
        <f>H42</f>
        <v>6034.3</v>
      </c>
      <c r="I41" s="47">
        <f>I42</f>
        <v>0</v>
      </c>
      <c r="J41" s="88"/>
      <c r="K41" s="47">
        <f>K42</f>
        <v>0</v>
      </c>
      <c r="L41" s="46">
        <f>L42</f>
        <v>6034.3</v>
      </c>
      <c r="M41" s="46">
        <f>M42</f>
        <v>0</v>
      </c>
      <c r="N41" s="46">
        <f>N42</f>
        <v>6034.3</v>
      </c>
      <c r="O41" s="94"/>
      <c r="P41" s="94"/>
    </row>
    <row r="42" spans="1:17" ht="31.5" x14ac:dyDescent="0.2">
      <c r="A42" s="42"/>
      <c r="B42" s="43" t="s">
        <v>35</v>
      </c>
      <c r="C42" s="44" t="s">
        <v>64</v>
      </c>
      <c r="D42" s="45" t="s">
        <v>36</v>
      </c>
      <c r="E42" s="105"/>
      <c r="F42" s="46">
        <v>6034.3</v>
      </c>
      <c r="G42" s="46"/>
      <c r="H42" s="46">
        <f>SUM(F42)</f>
        <v>6034.3</v>
      </c>
      <c r="I42" s="47">
        <v>0</v>
      </c>
      <c r="J42" s="88"/>
      <c r="K42" s="47">
        <v>0</v>
      </c>
      <c r="L42" s="46">
        <f>SUM(F42)</f>
        <v>6034.3</v>
      </c>
      <c r="M42" s="46">
        <f>SUM(G42)</f>
        <v>0</v>
      </c>
      <c r="N42" s="46">
        <f>SUM(L42)</f>
        <v>6034.3</v>
      </c>
      <c r="O42" s="94"/>
      <c r="P42" s="94"/>
    </row>
    <row r="43" spans="1:17" ht="15.75" x14ac:dyDescent="0.2">
      <c r="A43" s="42"/>
      <c r="B43" s="43" t="s">
        <v>65</v>
      </c>
      <c r="C43" s="44" t="s">
        <v>66</v>
      </c>
      <c r="D43" s="45" t="s">
        <v>26</v>
      </c>
      <c r="E43" s="105"/>
      <c r="F43" s="46">
        <f>F44</f>
        <v>300</v>
      </c>
      <c r="G43" s="46">
        <f>G44</f>
        <v>0</v>
      </c>
      <c r="H43" s="46">
        <f>H44</f>
        <v>300</v>
      </c>
      <c r="I43" s="47">
        <f>I44</f>
        <v>0</v>
      </c>
      <c r="J43" s="88"/>
      <c r="K43" s="47">
        <f>K44</f>
        <v>0</v>
      </c>
      <c r="L43" s="46">
        <f>L44</f>
        <v>300</v>
      </c>
      <c r="M43" s="46">
        <f>M44</f>
        <v>0</v>
      </c>
      <c r="N43" s="46">
        <f>N44</f>
        <v>300</v>
      </c>
      <c r="O43" s="94"/>
      <c r="P43" s="94"/>
    </row>
    <row r="44" spans="1:17" ht="31.5" x14ac:dyDescent="0.2">
      <c r="A44" s="42"/>
      <c r="B44" s="43" t="s">
        <v>35</v>
      </c>
      <c r="C44" s="44" t="s">
        <v>66</v>
      </c>
      <c r="D44" s="45" t="s">
        <v>36</v>
      </c>
      <c r="E44" s="105"/>
      <c r="F44" s="46">
        <v>300</v>
      </c>
      <c r="G44" s="46"/>
      <c r="H44" s="46">
        <v>300</v>
      </c>
      <c r="I44" s="47">
        <v>0</v>
      </c>
      <c r="J44" s="88"/>
      <c r="K44" s="47">
        <v>0</v>
      </c>
      <c r="L44" s="46">
        <v>300</v>
      </c>
      <c r="M44" s="46"/>
      <c r="N44" s="46">
        <v>300</v>
      </c>
      <c r="O44" s="94"/>
      <c r="P44" s="94"/>
    </row>
    <row r="45" spans="1:17" ht="15.75" x14ac:dyDescent="0.2">
      <c r="A45" s="42"/>
      <c r="B45" s="43" t="s">
        <v>67</v>
      </c>
      <c r="C45" s="44" t="s">
        <v>68</v>
      </c>
      <c r="D45" s="45" t="s">
        <v>26</v>
      </c>
      <c r="E45" s="105"/>
      <c r="F45" s="46">
        <f>F46</f>
        <v>0</v>
      </c>
      <c r="G45" s="46">
        <f>G46</f>
        <v>0</v>
      </c>
      <c r="H45" s="46">
        <f>H46</f>
        <v>0</v>
      </c>
      <c r="I45" s="47">
        <f>I46</f>
        <v>0</v>
      </c>
      <c r="J45" s="88"/>
      <c r="K45" s="47">
        <f>K46</f>
        <v>0</v>
      </c>
      <c r="L45" s="46">
        <f>L46</f>
        <v>0</v>
      </c>
      <c r="M45" s="46">
        <f>M46</f>
        <v>0</v>
      </c>
      <c r="N45" s="46">
        <f>N46</f>
        <v>0</v>
      </c>
      <c r="O45" s="94"/>
      <c r="P45" s="94"/>
    </row>
    <row r="46" spans="1:17" ht="31.5" x14ac:dyDescent="0.2">
      <c r="A46" s="42"/>
      <c r="B46" s="43" t="s">
        <v>35</v>
      </c>
      <c r="C46" s="44" t="s">
        <v>68</v>
      </c>
      <c r="D46" s="45" t="s">
        <v>36</v>
      </c>
      <c r="E46" s="105"/>
      <c r="F46" s="46"/>
      <c r="G46" s="46"/>
      <c r="H46" s="46"/>
      <c r="I46" s="47">
        <v>0</v>
      </c>
      <c r="J46" s="88"/>
      <c r="K46" s="47">
        <v>0</v>
      </c>
      <c r="L46" s="46"/>
      <c r="M46" s="46"/>
      <c r="N46" s="46"/>
      <c r="O46" s="94"/>
      <c r="P46" s="94"/>
    </row>
    <row r="47" spans="1:17" ht="47.25" x14ac:dyDescent="0.2">
      <c r="A47" s="49"/>
      <c r="B47" s="50" t="s">
        <v>69</v>
      </c>
      <c r="C47" s="51" t="s">
        <v>70</v>
      </c>
      <c r="D47" s="52" t="s">
        <v>26</v>
      </c>
      <c r="E47" s="106"/>
      <c r="F47" s="53">
        <f t="shared" ref="F47:N47" si="5">F48+F63</f>
        <v>129299.69999999998</v>
      </c>
      <c r="G47" s="53">
        <f t="shared" si="5"/>
        <v>600</v>
      </c>
      <c r="H47" s="53">
        <f t="shared" si="5"/>
        <v>129899.69999999998</v>
      </c>
      <c r="I47" s="54">
        <f t="shared" si="5"/>
        <v>5408.7</v>
      </c>
      <c r="J47" s="53">
        <f t="shared" si="5"/>
        <v>0</v>
      </c>
      <c r="K47" s="54">
        <f t="shared" si="5"/>
        <v>5408.7</v>
      </c>
      <c r="L47" s="53">
        <f t="shared" si="5"/>
        <v>134708.4</v>
      </c>
      <c r="M47" s="53">
        <f t="shared" si="5"/>
        <v>600</v>
      </c>
      <c r="N47" s="53">
        <f t="shared" si="5"/>
        <v>135308.4</v>
      </c>
      <c r="O47" s="95"/>
      <c r="P47" s="95"/>
      <c r="Q47" s="55"/>
    </row>
    <row r="48" spans="1:17" ht="36.6" customHeight="1" x14ac:dyDescent="0.2">
      <c r="A48" s="42"/>
      <c r="B48" s="43" t="s">
        <v>71</v>
      </c>
      <c r="C48" s="44" t="s">
        <v>72</v>
      </c>
      <c r="D48" s="45" t="s">
        <v>26</v>
      </c>
      <c r="E48" s="105"/>
      <c r="F48" s="46">
        <f>F49+F56+F58+F60+F54</f>
        <v>119588.49999999999</v>
      </c>
      <c r="G48" s="46">
        <f>G49+G56+G58+G60</f>
        <v>600</v>
      </c>
      <c r="H48" s="46">
        <f>H49+H56+H58+H60+H54</f>
        <v>120188.49999999999</v>
      </c>
      <c r="I48" s="46">
        <f>I49+I56+I58+I60+I54</f>
        <v>5408.7</v>
      </c>
      <c r="J48" s="46">
        <f>SUM(J54)</f>
        <v>0</v>
      </c>
      <c r="K48" s="46">
        <f>K49+K56+K58+K60+K54</f>
        <v>5408.7</v>
      </c>
      <c r="L48" s="46">
        <f>L49+L56+L58+L60+L54</f>
        <v>124997.19999999998</v>
      </c>
      <c r="M48" s="46">
        <f>M49+M56+M58+M60+M54</f>
        <v>600</v>
      </c>
      <c r="N48" s="46">
        <f>N49+N56+N58+N60+N54</f>
        <v>125597.19999999998</v>
      </c>
      <c r="O48" s="94"/>
      <c r="P48" s="94"/>
      <c r="Q48" s="48"/>
    </row>
    <row r="49" spans="1:16" ht="31.5" x14ac:dyDescent="0.2">
      <c r="A49" s="42"/>
      <c r="B49" s="43" t="s">
        <v>39</v>
      </c>
      <c r="C49" s="44" t="s">
        <v>73</v>
      </c>
      <c r="D49" s="45" t="s">
        <v>26</v>
      </c>
      <c r="E49" s="105"/>
      <c r="F49" s="46">
        <f>SUM(F52+F53+F51)+F50</f>
        <v>115445</v>
      </c>
      <c r="G49" s="46">
        <f>G50+G51+G52+G53</f>
        <v>0</v>
      </c>
      <c r="H49" s="46">
        <f>H50+H51+H52+H53</f>
        <v>115445</v>
      </c>
      <c r="I49" s="47">
        <f>I50+I51+I52+I53</f>
        <v>0</v>
      </c>
      <c r="J49" s="88"/>
      <c r="K49" s="47">
        <f>K50+K51+K52+K53</f>
        <v>0</v>
      </c>
      <c r="L49" s="46">
        <f>L50+L51+L52+L53</f>
        <v>115445</v>
      </c>
      <c r="M49" s="46">
        <f>M50+M51+M52+M53</f>
        <v>0</v>
      </c>
      <c r="N49" s="46">
        <f>N50+N51+N52+N53</f>
        <v>115445</v>
      </c>
      <c r="O49" s="94"/>
      <c r="P49" s="94"/>
    </row>
    <row r="50" spans="1:16" ht="64.150000000000006" customHeight="1" x14ac:dyDescent="0.2">
      <c r="A50" s="42"/>
      <c r="B50" s="43" t="s">
        <v>31</v>
      </c>
      <c r="C50" s="44" t="s">
        <v>73</v>
      </c>
      <c r="D50" s="45" t="s">
        <v>32</v>
      </c>
      <c r="E50" s="105"/>
      <c r="F50" s="56">
        <f>20290.4+351.1</f>
        <v>20641.5</v>
      </c>
      <c r="G50" s="56"/>
      <c r="H50" s="56">
        <f>20290.4+351.1</f>
        <v>20641.5</v>
      </c>
      <c r="I50" s="47">
        <v>0</v>
      </c>
      <c r="J50" s="111"/>
      <c r="K50" s="47">
        <v>0</v>
      </c>
      <c r="L50" s="56">
        <f>20290.4+351.1</f>
        <v>20641.5</v>
      </c>
      <c r="M50" s="56"/>
      <c r="N50" s="56">
        <f>20290.4+351.1</f>
        <v>20641.5</v>
      </c>
      <c r="O50" s="94"/>
      <c r="P50" s="94"/>
    </row>
    <row r="51" spans="1:16" ht="31.5" x14ac:dyDescent="0.2">
      <c r="A51" s="42"/>
      <c r="B51" s="43" t="s">
        <v>35</v>
      </c>
      <c r="C51" s="44" t="s">
        <v>73</v>
      </c>
      <c r="D51" s="45" t="s">
        <v>36</v>
      </c>
      <c r="E51" s="105"/>
      <c r="F51" s="46">
        <v>6910.7</v>
      </c>
      <c r="G51" s="46"/>
      <c r="H51" s="46">
        <f>SUM(F51)</f>
        <v>6910.7</v>
      </c>
      <c r="I51" s="47">
        <v>0</v>
      </c>
      <c r="J51" s="88"/>
      <c r="K51" s="47">
        <v>0</v>
      </c>
      <c r="L51" s="46">
        <f>SUM(F51)</f>
        <v>6910.7</v>
      </c>
      <c r="M51" s="46">
        <f>SUM(G51)</f>
        <v>0</v>
      </c>
      <c r="N51" s="46">
        <f>SUM(H51)</f>
        <v>6910.7</v>
      </c>
      <c r="O51" s="94"/>
      <c r="P51" s="94"/>
    </row>
    <row r="52" spans="1:16" ht="31.5" x14ac:dyDescent="0.2">
      <c r="A52" s="42"/>
      <c r="B52" s="43" t="s">
        <v>74</v>
      </c>
      <c r="C52" s="44" t="s">
        <v>73</v>
      </c>
      <c r="D52" s="45" t="s">
        <v>75</v>
      </c>
      <c r="E52" s="105"/>
      <c r="F52" s="56">
        <f>86661+1213.2</f>
        <v>87874.2</v>
      </c>
      <c r="G52" s="56"/>
      <c r="H52" s="56">
        <f>86661+1213.2</f>
        <v>87874.2</v>
      </c>
      <c r="I52" s="47">
        <v>0</v>
      </c>
      <c r="J52" s="111"/>
      <c r="K52" s="47">
        <v>0</v>
      </c>
      <c r="L52" s="56">
        <f>86661+1213.2</f>
        <v>87874.2</v>
      </c>
      <c r="M52" s="56"/>
      <c r="N52" s="56">
        <f>86661+1213.2</f>
        <v>87874.2</v>
      </c>
      <c r="O52" s="94"/>
      <c r="P52" s="94"/>
    </row>
    <row r="53" spans="1:16" ht="15.75" x14ac:dyDescent="0.2">
      <c r="A53" s="42"/>
      <c r="B53" s="43" t="s">
        <v>41</v>
      </c>
      <c r="C53" s="44" t="s">
        <v>73</v>
      </c>
      <c r="D53" s="45" t="s">
        <v>42</v>
      </c>
      <c r="E53" s="105"/>
      <c r="F53" s="46">
        <v>18.600000000000001</v>
      </c>
      <c r="G53" s="46"/>
      <c r="H53" s="46">
        <v>18.600000000000001</v>
      </c>
      <c r="I53" s="47">
        <v>0</v>
      </c>
      <c r="J53" s="88"/>
      <c r="K53" s="47">
        <v>0</v>
      </c>
      <c r="L53" s="46">
        <v>18.600000000000001</v>
      </c>
      <c r="M53" s="46"/>
      <c r="N53" s="46">
        <v>18.600000000000001</v>
      </c>
      <c r="O53" s="94"/>
      <c r="P53" s="94"/>
    </row>
    <row r="54" spans="1:16" ht="42.75" customHeight="1" x14ac:dyDescent="0.2">
      <c r="A54" s="42"/>
      <c r="B54" s="122" t="s">
        <v>76</v>
      </c>
      <c r="C54" s="44" t="s">
        <v>77</v>
      </c>
      <c r="D54" s="45"/>
      <c r="E54" s="105"/>
      <c r="F54" s="46">
        <f>SUM(F55)</f>
        <v>1448.9</v>
      </c>
      <c r="G54" s="46">
        <f>SUM(G55)</f>
        <v>0</v>
      </c>
      <c r="H54" s="46">
        <f>SUM(F54)+G54</f>
        <v>1448.9</v>
      </c>
      <c r="I54" s="47">
        <f>SUM(I55)</f>
        <v>0</v>
      </c>
      <c r="J54" s="88">
        <f>SUM(J55)</f>
        <v>0</v>
      </c>
      <c r="K54" s="47">
        <f>SUM(K55)</f>
        <v>0</v>
      </c>
      <c r="L54" s="46">
        <f>SUM(L55)</f>
        <v>1448.9</v>
      </c>
      <c r="M54" s="46">
        <f>SUM(J54)+G54</f>
        <v>0</v>
      </c>
      <c r="N54" s="46">
        <f>SUM(N55)</f>
        <v>1448.9</v>
      </c>
      <c r="O54" s="94"/>
      <c r="P54" s="94"/>
    </row>
    <row r="55" spans="1:16" ht="31.5" x14ac:dyDescent="0.2">
      <c r="A55" s="42"/>
      <c r="B55" s="43" t="s">
        <v>74</v>
      </c>
      <c r="C55" s="44" t="s">
        <v>77</v>
      </c>
      <c r="D55" s="45" t="s">
        <v>75</v>
      </c>
      <c r="E55" s="105"/>
      <c r="F55" s="46">
        <v>1448.9</v>
      </c>
      <c r="G55" s="46"/>
      <c r="H55" s="46">
        <f>SUM(F55)+G55</f>
        <v>1448.9</v>
      </c>
      <c r="I55" s="47">
        <v>0</v>
      </c>
      <c r="J55" s="88"/>
      <c r="K55" s="47">
        <f>SUM(I55)+J55</f>
        <v>0</v>
      </c>
      <c r="L55" s="46">
        <f>SUM(F55+I55)</f>
        <v>1448.9</v>
      </c>
      <c r="M55" s="46">
        <f>SUM(J55)+G55</f>
        <v>0</v>
      </c>
      <c r="N55" s="46">
        <f>SUM(K55)+H55</f>
        <v>1448.9</v>
      </c>
      <c r="O55" s="94"/>
      <c r="P55" s="94"/>
    </row>
    <row r="56" spans="1:16" ht="36" customHeight="1" x14ac:dyDescent="0.2">
      <c r="A56" s="42"/>
      <c r="B56" s="43" t="s">
        <v>78</v>
      </c>
      <c r="C56" s="44" t="s">
        <v>79</v>
      </c>
      <c r="D56" s="45" t="s">
        <v>26</v>
      </c>
      <c r="E56" s="105"/>
      <c r="F56" s="46">
        <f>F57</f>
        <v>1814</v>
      </c>
      <c r="G56" s="46">
        <f>G57</f>
        <v>600</v>
      </c>
      <c r="H56" s="46">
        <f>H57</f>
        <v>2414</v>
      </c>
      <c r="I56" s="47">
        <f>I57</f>
        <v>0</v>
      </c>
      <c r="J56" s="88"/>
      <c r="K56" s="47">
        <f>K57</f>
        <v>0</v>
      </c>
      <c r="L56" s="46">
        <f>L57</f>
        <v>1814</v>
      </c>
      <c r="M56" s="46">
        <f>M57</f>
        <v>600</v>
      </c>
      <c r="N56" s="46">
        <f>N57</f>
        <v>2414</v>
      </c>
      <c r="O56" s="94"/>
      <c r="P56" s="94"/>
    </row>
    <row r="57" spans="1:16" ht="31.5" x14ac:dyDescent="0.2">
      <c r="A57" s="42"/>
      <c r="B57" s="43" t="s">
        <v>74</v>
      </c>
      <c r="C57" s="44" t="s">
        <v>79</v>
      </c>
      <c r="D57" s="45" t="s">
        <v>75</v>
      </c>
      <c r="E57" s="105"/>
      <c r="F57" s="46">
        <v>1814</v>
      </c>
      <c r="G57" s="46">
        <v>600</v>
      </c>
      <c r="H57" s="46">
        <f>1814+G57</f>
        <v>2414</v>
      </c>
      <c r="I57" s="47">
        <v>0</v>
      </c>
      <c r="J57" s="88"/>
      <c r="K57" s="47">
        <v>0</v>
      </c>
      <c r="L57" s="46">
        <f>SUM(F57)</f>
        <v>1814</v>
      </c>
      <c r="M57" s="46">
        <f>SUM(G57)</f>
        <v>600</v>
      </c>
      <c r="N57" s="46">
        <f>SUM(L57)+M57</f>
        <v>2414</v>
      </c>
      <c r="O57" s="94"/>
      <c r="P57" s="94"/>
    </row>
    <row r="58" spans="1:16" ht="33" customHeight="1" x14ac:dyDescent="0.2">
      <c r="A58" s="42"/>
      <c r="B58" s="43" t="s">
        <v>80</v>
      </c>
      <c r="C58" s="44" t="s">
        <v>81</v>
      </c>
      <c r="D58" s="45" t="s">
        <v>26</v>
      </c>
      <c r="E58" s="105"/>
      <c r="F58" s="46">
        <f>F59</f>
        <v>626.20000000000005</v>
      </c>
      <c r="G58" s="46">
        <f>G59</f>
        <v>0</v>
      </c>
      <c r="H58" s="46">
        <f>H59</f>
        <v>626.20000000000005</v>
      </c>
      <c r="I58" s="47">
        <f>I59</f>
        <v>3846.2</v>
      </c>
      <c r="J58" s="88"/>
      <c r="K58" s="47">
        <f>K59</f>
        <v>3846.2</v>
      </c>
      <c r="L58" s="46">
        <f>L59</f>
        <v>4472.3999999999996</v>
      </c>
      <c r="M58" s="46">
        <f>M59</f>
        <v>0</v>
      </c>
      <c r="N58" s="46">
        <f>N59</f>
        <v>4472.3999999999996</v>
      </c>
      <c r="O58" s="94"/>
      <c r="P58" s="94"/>
    </row>
    <row r="59" spans="1:16" ht="31.5" x14ac:dyDescent="0.2">
      <c r="A59" s="42"/>
      <c r="B59" s="43" t="s">
        <v>74</v>
      </c>
      <c r="C59" s="44" t="s">
        <v>81</v>
      </c>
      <c r="D59" s="45" t="s">
        <v>75</v>
      </c>
      <c r="E59" s="105"/>
      <c r="F59" s="46">
        <v>626.20000000000005</v>
      </c>
      <c r="G59" s="46"/>
      <c r="H59" s="46">
        <v>626.20000000000005</v>
      </c>
      <c r="I59" s="47">
        <v>3846.2</v>
      </c>
      <c r="J59" s="88"/>
      <c r="K59" s="47">
        <v>3846.2</v>
      </c>
      <c r="L59" s="46">
        <f>626.2+I59</f>
        <v>4472.3999999999996</v>
      </c>
      <c r="M59" s="46"/>
      <c r="N59" s="46">
        <f>626.2+K59</f>
        <v>4472.3999999999996</v>
      </c>
      <c r="O59" s="94"/>
      <c r="P59" s="94"/>
    </row>
    <row r="60" spans="1:16" ht="15.75" x14ac:dyDescent="0.2">
      <c r="A60" s="42"/>
      <c r="B60" s="43" t="s">
        <v>82</v>
      </c>
      <c r="C60" s="44" t="s">
        <v>83</v>
      </c>
      <c r="D60" s="45"/>
      <c r="E60" s="105"/>
      <c r="F60" s="46">
        <v>254.4</v>
      </c>
      <c r="G60" s="46"/>
      <c r="H60" s="46">
        <v>254.4</v>
      </c>
      <c r="I60" s="47">
        <v>1562.5</v>
      </c>
      <c r="J60" s="88"/>
      <c r="K60" s="47">
        <v>1562.5</v>
      </c>
      <c r="L60" s="46">
        <f>254.4+I60</f>
        <v>1816.9</v>
      </c>
      <c r="M60" s="46"/>
      <c r="N60" s="46">
        <f>254.4+K60</f>
        <v>1816.9</v>
      </c>
      <c r="O60" s="94"/>
      <c r="P60" s="94"/>
    </row>
    <row r="61" spans="1:16" ht="21" customHeight="1" x14ac:dyDescent="0.2">
      <c r="A61" s="42"/>
      <c r="B61" s="43" t="s">
        <v>84</v>
      </c>
      <c r="C61" s="44" t="s">
        <v>85</v>
      </c>
      <c r="D61" s="45"/>
      <c r="E61" s="105"/>
      <c r="F61" s="46">
        <v>254.4</v>
      </c>
      <c r="G61" s="46"/>
      <c r="H61" s="46">
        <v>254.4</v>
      </c>
      <c r="I61" s="47">
        <v>1562.5</v>
      </c>
      <c r="J61" s="88"/>
      <c r="K61" s="47">
        <v>1562.5</v>
      </c>
      <c r="L61" s="46">
        <f>254.4+I61</f>
        <v>1816.9</v>
      </c>
      <c r="M61" s="46"/>
      <c r="N61" s="46">
        <f>254.4+K61</f>
        <v>1816.9</v>
      </c>
      <c r="O61" s="94"/>
      <c r="P61" s="94"/>
    </row>
    <row r="62" spans="1:16" ht="31.5" x14ac:dyDescent="0.2">
      <c r="A62" s="42"/>
      <c r="B62" s="43" t="s">
        <v>74</v>
      </c>
      <c r="C62" s="44" t="s">
        <v>83</v>
      </c>
      <c r="D62" s="45" t="s">
        <v>75</v>
      </c>
      <c r="E62" s="105"/>
      <c r="F62" s="46">
        <v>254.4</v>
      </c>
      <c r="G62" s="46"/>
      <c r="H62" s="46">
        <v>254.4</v>
      </c>
      <c r="I62" s="47">
        <v>1562.5</v>
      </c>
      <c r="J62" s="88"/>
      <c r="K62" s="47">
        <v>1562.5</v>
      </c>
      <c r="L62" s="46">
        <f>254.4+I62</f>
        <v>1816.9</v>
      </c>
      <c r="M62" s="46"/>
      <c r="N62" s="46">
        <f>254.4+K62</f>
        <v>1816.9</v>
      </c>
      <c r="O62" s="94"/>
      <c r="P62" s="94"/>
    </row>
    <row r="63" spans="1:16" ht="36" customHeight="1" x14ac:dyDescent="0.2">
      <c r="A63" s="42"/>
      <c r="B63" s="43" t="s">
        <v>86</v>
      </c>
      <c r="C63" s="44" t="s">
        <v>87</v>
      </c>
      <c r="D63" s="45" t="s">
        <v>26</v>
      </c>
      <c r="E63" s="105"/>
      <c r="F63" s="46">
        <f>F64</f>
        <v>9711.2000000000007</v>
      </c>
      <c r="G63" s="46">
        <f>G64</f>
        <v>0</v>
      </c>
      <c r="H63" s="46">
        <f>H64</f>
        <v>9711.2000000000007</v>
      </c>
      <c r="I63" s="47">
        <f>I64</f>
        <v>0</v>
      </c>
      <c r="J63" s="88"/>
      <c r="K63" s="47">
        <f>K64</f>
        <v>0</v>
      </c>
      <c r="L63" s="46">
        <f>L64</f>
        <v>9711.2000000000007</v>
      </c>
      <c r="M63" s="46">
        <f>M64</f>
        <v>0</v>
      </c>
      <c r="N63" s="46">
        <f>N64</f>
        <v>9711.2000000000007</v>
      </c>
      <c r="O63" s="94"/>
      <c r="P63" s="94"/>
    </row>
    <row r="64" spans="1:16" ht="31.5" x14ac:dyDescent="0.2">
      <c r="A64" s="42"/>
      <c r="B64" s="43" t="s">
        <v>39</v>
      </c>
      <c r="C64" s="44" t="s">
        <v>88</v>
      </c>
      <c r="D64" s="45" t="s">
        <v>26</v>
      </c>
      <c r="E64" s="105"/>
      <c r="F64" s="46">
        <f>F65+F66+F67</f>
        <v>9711.2000000000007</v>
      </c>
      <c r="G64" s="46">
        <f>G65+G66+G67</f>
        <v>0</v>
      </c>
      <c r="H64" s="46">
        <f>H65+H66+H67</f>
        <v>9711.2000000000007</v>
      </c>
      <c r="I64" s="47">
        <f>I65+I66+I67</f>
        <v>0</v>
      </c>
      <c r="J64" s="88"/>
      <c r="K64" s="47">
        <f>K65+K66+K67</f>
        <v>0</v>
      </c>
      <c r="L64" s="46">
        <f>L65+L66+L67</f>
        <v>9711.2000000000007</v>
      </c>
      <c r="M64" s="46">
        <f>M65+M66+M67</f>
        <v>0</v>
      </c>
      <c r="N64" s="46">
        <f>N65+N66+N67</f>
        <v>9711.2000000000007</v>
      </c>
      <c r="O64" s="94"/>
      <c r="P64" s="94"/>
    </row>
    <row r="65" spans="1:16" ht="70.150000000000006" customHeight="1" x14ac:dyDescent="0.2">
      <c r="A65" s="42"/>
      <c r="B65" s="43" t="s">
        <v>31</v>
      </c>
      <c r="C65" s="44" t="s">
        <v>88</v>
      </c>
      <c r="D65" s="45" t="s">
        <v>32</v>
      </c>
      <c r="E65" s="105"/>
      <c r="F65" s="46">
        <v>8283.2000000000007</v>
      </c>
      <c r="G65" s="46"/>
      <c r="H65" s="46">
        <f>SUM(F65)</f>
        <v>8283.2000000000007</v>
      </c>
      <c r="I65" s="47">
        <v>0</v>
      </c>
      <c r="J65" s="88"/>
      <c r="K65" s="47">
        <v>0</v>
      </c>
      <c r="L65" s="46">
        <f t="shared" ref="L65:N66" si="6">SUM(F65)</f>
        <v>8283.2000000000007</v>
      </c>
      <c r="M65" s="46">
        <f t="shared" si="6"/>
        <v>0</v>
      </c>
      <c r="N65" s="46">
        <f t="shared" si="6"/>
        <v>8283.2000000000007</v>
      </c>
      <c r="O65" s="94"/>
      <c r="P65" s="94"/>
    </row>
    <row r="66" spans="1:16" ht="31.5" x14ac:dyDescent="0.2">
      <c r="A66" s="42"/>
      <c r="B66" s="43" t="s">
        <v>35</v>
      </c>
      <c r="C66" s="44" t="s">
        <v>88</v>
      </c>
      <c r="D66" s="45" t="s">
        <v>36</v>
      </c>
      <c r="E66" s="105"/>
      <c r="F66" s="46">
        <v>1426.9</v>
      </c>
      <c r="G66" s="46"/>
      <c r="H66" s="46">
        <f>SUM(F66)</f>
        <v>1426.9</v>
      </c>
      <c r="I66" s="47">
        <v>0</v>
      </c>
      <c r="J66" s="88"/>
      <c r="K66" s="47">
        <v>0</v>
      </c>
      <c r="L66" s="46">
        <f t="shared" si="6"/>
        <v>1426.9</v>
      </c>
      <c r="M66" s="46">
        <f t="shared" si="6"/>
        <v>0</v>
      </c>
      <c r="N66" s="46">
        <f t="shared" si="6"/>
        <v>1426.9</v>
      </c>
      <c r="O66" s="94"/>
      <c r="P66" s="94"/>
    </row>
    <row r="67" spans="1:16" ht="15.75" x14ac:dyDescent="0.2">
      <c r="A67" s="42"/>
      <c r="B67" s="43" t="s">
        <v>41</v>
      </c>
      <c r="C67" s="44" t="s">
        <v>88</v>
      </c>
      <c r="D67" s="45" t="s">
        <v>42</v>
      </c>
      <c r="E67" s="105"/>
      <c r="F67" s="46">
        <v>1.1000000000000001</v>
      </c>
      <c r="G67" s="46"/>
      <c r="H67" s="46">
        <v>1.1000000000000001</v>
      </c>
      <c r="I67" s="47">
        <v>0</v>
      </c>
      <c r="J67" s="88"/>
      <c r="K67" s="47">
        <v>0</v>
      </c>
      <c r="L67" s="46">
        <v>1.1000000000000001</v>
      </c>
      <c r="M67" s="46"/>
      <c r="N67" s="46">
        <v>1.1000000000000001</v>
      </c>
      <c r="O67" s="94"/>
      <c r="P67" s="94"/>
    </row>
    <row r="68" spans="1:16" ht="31.5" x14ac:dyDescent="0.2">
      <c r="A68" s="49"/>
      <c r="B68" s="50" t="s">
        <v>89</v>
      </c>
      <c r="C68" s="51" t="s">
        <v>90</v>
      </c>
      <c r="D68" s="52" t="s">
        <v>26</v>
      </c>
      <c r="E68" s="106"/>
      <c r="F68" s="53">
        <f t="shared" ref="F68:N69" si="7">F69</f>
        <v>1865.9</v>
      </c>
      <c r="G68" s="53">
        <f t="shared" si="7"/>
        <v>0</v>
      </c>
      <c r="H68" s="53">
        <f t="shared" si="7"/>
        <v>1865.9</v>
      </c>
      <c r="I68" s="54">
        <f t="shared" si="7"/>
        <v>0</v>
      </c>
      <c r="J68" s="53">
        <f t="shared" si="7"/>
        <v>0</v>
      </c>
      <c r="K68" s="54">
        <f t="shared" si="7"/>
        <v>0</v>
      </c>
      <c r="L68" s="53">
        <f t="shared" si="7"/>
        <v>1865.9</v>
      </c>
      <c r="M68" s="53">
        <f t="shared" si="7"/>
        <v>0</v>
      </c>
      <c r="N68" s="53">
        <f t="shared" si="7"/>
        <v>1865.9</v>
      </c>
      <c r="O68" s="95"/>
      <c r="P68" s="95"/>
    </row>
    <row r="69" spans="1:16" ht="31.5" x14ac:dyDescent="0.2">
      <c r="A69" s="42"/>
      <c r="B69" s="43" t="s">
        <v>91</v>
      </c>
      <c r="C69" s="44" t="s">
        <v>92</v>
      </c>
      <c r="D69" s="45" t="s">
        <v>26</v>
      </c>
      <c r="E69" s="105"/>
      <c r="F69" s="46">
        <f t="shared" si="7"/>
        <v>1865.9</v>
      </c>
      <c r="G69" s="46">
        <f t="shared" si="7"/>
        <v>0</v>
      </c>
      <c r="H69" s="46">
        <f t="shared" si="7"/>
        <v>1865.9</v>
      </c>
      <c r="I69" s="47">
        <f t="shared" si="7"/>
        <v>0</v>
      </c>
      <c r="J69" s="88"/>
      <c r="K69" s="47">
        <f t="shared" si="7"/>
        <v>0</v>
      </c>
      <c r="L69" s="46">
        <f t="shared" si="7"/>
        <v>1865.9</v>
      </c>
      <c r="M69" s="46">
        <f t="shared" si="7"/>
        <v>0</v>
      </c>
      <c r="N69" s="46">
        <f t="shared" si="7"/>
        <v>1865.9</v>
      </c>
      <c r="O69" s="94"/>
      <c r="P69" s="94"/>
    </row>
    <row r="70" spans="1:16" ht="31.5" x14ac:dyDescent="0.2">
      <c r="A70" s="42"/>
      <c r="B70" s="43" t="s">
        <v>93</v>
      </c>
      <c r="C70" s="44" t="s">
        <v>94</v>
      </c>
      <c r="D70" s="45" t="s">
        <v>26</v>
      </c>
      <c r="E70" s="105"/>
      <c r="F70" s="46">
        <f>F71+F72</f>
        <v>1865.9</v>
      </c>
      <c r="G70" s="46">
        <f>G71+G72</f>
        <v>0</v>
      </c>
      <c r="H70" s="46">
        <f>H71+H72</f>
        <v>1865.9</v>
      </c>
      <c r="I70" s="47">
        <f>I71+I72</f>
        <v>0</v>
      </c>
      <c r="J70" s="88"/>
      <c r="K70" s="47">
        <f>K71+K72</f>
        <v>0</v>
      </c>
      <c r="L70" s="46">
        <f>L71+L72</f>
        <v>1865.9</v>
      </c>
      <c r="M70" s="46">
        <f>M71+M72</f>
        <v>0</v>
      </c>
      <c r="N70" s="46">
        <f>N71+N72</f>
        <v>1865.9</v>
      </c>
      <c r="O70" s="94"/>
      <c r="P70" s="94"/>
    </row>
    <row r="71" spans="1:16" ht="66" customHeight="1" x14ac:dyDescent="0.2">
      <c r="A71" s="42"/>
      <c r="B71" s="43" t="s">
        <v>31</v>
      </c>
      <c r="C71" s="44" t="s">
        <v>94</v>
      </c>
      <c r="D71" s="45" t="s">
        <v>32</v>
      </c>
      <c r="E71" s="105"/>
      <c r="F71" s="46">
        <v>1855.9</v>
      </c>
      <c r="G71" s="46"/>
      <c r="H71" s="46">
        <v>1855.9</v>
      </c>
      <c r="I71" s="47">
        <v>0</v>
      </c>
      <c r="J71" s="88"/>
      <c r="K71" s="47">
        <v>0</v>
      </c>
      <c r="L71" s="46">
        <v>1855.9</v>
      </c>
      <c r="M71" s="46"/>
      <c r="N71" s="46">
        <v>1855.9</v>
      </c>
      <c r="O71" s="94"/>
      <c r="P71" s="94"/>
    </row>
    <row r="72" spans="1:16" ht="31.5" x14ac:dyDescent="0.2">
      <c r="A72" s="42"/>
      <c r="B72" s="43" t="s">
        <v>35</v>
      </c>
      <c r="C72" s="44" t="s">
        <v>94</v>
      </c>
      <c r="D72" s="45" t="s">
        <v>36</v>
      </c>
      <c r="E72" s="105"/>
      <c r="F72" s="46">
        <v>10</v>
      </c>
      <c r="G72" s="46"/>
      <c r="H72" s="46">
        <v>10</v>
      </c>
      <c r="I72" s="47">
        <v>0</v>
      </c>
      <c r="J72" s="88"/>
      <c r="K72" s="47">
        <v>0</v>
      </c>
      <c r="L72" s="46">
        <v>10</v>
      </c>
      <c r="M72" s="46"/>
      <c r="N72" s="46">
        <v>10</v>
      </c>
      <c r="O72" s="94"/>
      <c r="P72" s="94"/>
    </row>
    <row r="73" spans="1:16" ht="31.5" x14ac:dyDescent="0.2">
      <c r="A73" s="19" t="s">
        <v>95</v>
      </c>
      <c r="B73" s="20" t="s">
        <v>96</v>
      </c>
      <c r="C73" s="21" t="s">
        <v>97</v>
      </c>
      <c r="D73" s="22" t="s">
        <v>26</v>
      </c>
      <c r="E73" s="104"/>
      <c r="F73" s="23">
        <f t="shared" ref="F73:N73" si="8">F74+F81</f>
        <v>8816</v>
      </c>
      <c r="G73" s="23">
        <f t="shared" si="8"/>
        <v>0</v>
      </c>
      <c r="H73" s="23">
        <f t="shared" si="8"/>
        <v>8816</v>
      </c>
      <c r="I73" s="24">
        <f t="shared" si="8"/>
        <v>0</v>
      </c>
      <c r="J73" s="23">
        <f t="shared" si="8"/>
        <v>0</v>
      </c>
      <c r="K73" s="24">
        <f t="shared" si="8"/>
        <v>0</v>
      </c>
      <c r="L73" s="23">
        <f t="shared" si="8"/>
        <v>8816</v>
      </c>
      <c r="M73" s="23">
        <f t="shared" si="8"/>
        <v>0</v>
      </c>
      <c r="N73" s="23">
        <f t="shared" si="8"/>
        <v>8816</v>
      </c>
      <c r="O73" s="93"/>
      <c r="P73" s="93"/>
    </row>
    <row r="74" spans="1:16" ht="31.5" x14ac:dyDescent="0.2">
      <c r="A74" s="49"/>
      <c r="B74" s="50" t="s">
        <v>98</v>
      </c>
      <c r="C74" s="51" t="s">
        <v>99</v>
      </c>
      <c r="D74" s="52" t="s">
        <v>26</v>
      </c>
      <c r="E74" s="106"/>
      <c r="F74" s="53">
        <f t="shared" ref="F74:N74" si="9">F75+F78</f>
        <v>8536</v>
      </c>
      <c r="G74" s="53">
        <f t="shared" si="9"/>
        <v>0</v>
      </c>
      <c r="H74" s="53">
        <f t="shared" si="9"/>
        <v>8536</v>
      </c>
      <c r="I74" s="54">
        <f t="shared" si="9"/>
        <v>0</v>
      </c>
      <c r="J74" s="53">
        <f t="shared" si="9"/>
        <v>0</v>
      </c>
      <c r="K74" s="54">
        <f t="shared" si="9"/>
        <v>0</v>
      </c>
      <c r="L74" s="53">
        <f t="shared" si="9"/>
        <v>8536</v>
      </c>
      <c r="M74" s="53">
        <f t="shared" si="9"/>
        <v>0</v>
      </c>
      <c r="N74" s="53">
        <f t="shared" si="9"/>
        <v>8536</v>
      </c>
      <c r="O74" s="95"/>
      <c r="P74" s="95"/>
    </row>
    <row r="75" spans="1:16" ht="31.5" x14ac:dyDescent="0.2">
      <c r="A75" s="42"/>
      <c r="B75" s="43" t="s">
        <v>100</v>
      </c>
      <c r="C75" s="44" t="s">
        <v>101</v>
      </c>
      <c r="D75" s="45" t="s">
        <v>26</v>
      </c>
      <c r="E75" s="105"/>
      <c r="F75" s="46">
        <f t="shared" ref="F75:N76" si="10">F76</f>
        <v>4496</v>
      </c>
      <c r="G75" s="46">
        <f t="shared" si="10"/>
        <v>0</v>
      </c>
      <c r="H75" s="46">
        <f t="shared" si="10"/>
        <v>4496</v>
      </c>
      <c r="I75" s="47">
        <f t="shared" si="10"/>
        <v>0</v>
      </c>
      <c r="J75" s="88"/>
      <c r="K75" s="47">
        <f t="shared" si="10"/>
        <v>0</v>
      </c>
      <c r="L75" s="46">
        <f t="shared" si="10"/>
        <v>4496</v>
      </c>
      <c r="M75" s="46">
        <f t="shared" si="10"/>
        <v>0</v>
      </c>
      <c r="N75" s="46">
        <f t="shared" si="10"/>
        <v>4496</v>
      </c>
      <c r="O75" s="94"/>
      <c r="P75" s="94"/>
    </row>
    <row r="76" spans="1:16" ht="15.75" x14ac:dyDescent="0.2">
      <c r="A76" s="42"/>
      <c r="B76" s="43" t="s">
        <v>102</v>
      </c>
      <c r="C76" s="44" t="s">
        <v>103</v>
      </c>
      <c r="D76" s="45" t="s">
        <v>26</v>
      </c>
      <c r="E76" s="105"/>
      <c r="F76" s="46">
        <f t="shared" si="10"/>
        <v>4496</v>
      </c>
      <c r="G76" s="46">
        <f t="shared" si="10"/>
        <v>0</v>
      </c>
      <c r="H76" s="46">
        <f t="shared" si="10"/>
        <v>4496</v>
      </c>
      <c r="I76" s="47">
        <f t="shared" si="10"/>
        <v>0</v>
      </c>
      <c r="J76" s="88"/>
      <c r="K76" s="47">
        <f t="shared" si="10"/>
        <v>0</v>
      </c>
      <c r="L76" s="46">
        <f t="shared" si="10"/>
        <v>4496</v>
      </c>
      <c r="M76" s="46">
        <f t="shared" si="10"/>
        <v>0</v>
      </c>
      <c r="N76" s="46">
        <f t="shared" si="10"/>
        <v>4496</v>
      </c>
      <c r="O76" s="94"/>
      <c r="P76" s="94"/>
    </row>
    <row r="77" spans="1:16" ht="15.75" x14ac:dyDescent="0.2">
      <c r="A77" s="42"/>
      <c r="B77" s="43" t="s">
        <v>54</v>
      </c>
      <c r="C77" s="44" t="s">
        <v>103</v>
      </c>
      <c r="D77" s="45" t="s">
        <v>55</v>
      </c>
      <c r="E77" s="105"/>
      <c r="F77" s="46">
        <v>4496</v>
      </c>
      <c r="G77" s="46"/>
      <c r="H77" s="46">
        <v>4496</v>
      </c>
      <c r="I77" s="47">
        <v>0</v>
      </c>
      <c r="J77" s="88"/>
      <c r="K77" s="47">
        <v>0</v>
      </c>
      <c r="L77" s="46">
        <v>4496</v>
      </c>
      <c r="M77" s="46"/>
      <c r="N77" s="46">
        <v>4496</v>
      </c>
      <c r="O77" s="94"/>
      <c r="P77" s="94"/>
    </row>
    <row r="78" spans="1:16" ht="36" customHeight="1" x14ac:dyDescent="0.2">
      <c r="A78" s="42"/>
      <c r="B78" s="43" t="s">
        <v>104</v>
      </c>
      <c r="C78" s="44" t="s">
        <v>105</v>
      </c>
      <c r="D78" s="45" t="s">
        <v>26</v>
      </c>
      <c r="E78" s="105"/>
      <c r="F78" s="46">
        <f t="shared" ref="F78:N79" si="11">F79</f>
        <v>4040</v>
      </c>
      <c r="G78" s="46">
        <f t="shared" si="11"/>
        <v>0</v>
      </c>
      <c r="H78" s="46">
        <f t="shared" si="11"/>
        <v>4040</v>
      </c>
      <c r="I78" s="47">
        <f t="shared" si="11"/>
        <v>0</v>
      </c>
      <c r="J78" s="88"/>
      <c r="K78" s="47">
        <f t="shared" si="11"/>
        <v>0</v>
      </c>
      <c r="L78" s="46">
        <f t="shared" si="11"/>
        <v>4040</v>
      </c>
      <c r="M78" s="46">
        <f t="shared" si="11"/>
        <v>0</v>
      </c>
      <c r="N78" s="46">
        <f t="shared" si="11"/>
        <v>4040</v>
      </c>
      <c r="O78" s="94"/>
      <c r="P78" s="94"/>
    </row>
    <row r="79" spans="1:16" ht="31.5" x14ac:dyDescent="0.2">
      <c r="A79" s="42"/>
      <c r="B79" s="43" t="s">
        <v>106</v>
      </c>
      <c r="C79" s="44" t="s">
        <v>107</v>
      </c>
      <c r="D79" s="45" t="s">
        <v>26</v>
      </c>
      <c r="E79" s="105"/>
      <c r="F79" s="46">
        <f t="shared" si="11"/>
        <v>4040</v>
      </c>
      <c r="G79" s="46">
        <f t="shared" si="11"/>
        <v>0</v>
      </c>
      <c r="H79" s="46">
        <f t="shared" si="11"/>
        <v>4040</v>
      </c>
      <c r="I79" s="47">
        <f t="shared" si="11"/>
        <v>0</v>
      </c>
      <c r="J79" s="88"/>
      <c r="K79" s="47">
        <f t="shared" si="11"/>
        <v>0</v>
      </c>
      <c r="L79" s="46">
        <f t="shared" si="11"/>
        <v>4040</v>
      </c>
      <c r="M79" s="46">
        <f t="shared" si="11"/>
        <v>0</v>
      </c>
      <c r="N79" s="46">
        <f t="shared" si="11"/>
        <v>4040</v>
      </c>
      <c r="O79" s="94"/>
      <c r="P79" s="94"/>
    </row>
    <row r="80" spans="1:16" ht="15.75" x14ac:dyDescent="0.2">
      <c r="A80" s="42"/>
      <c r="B80" s="43" t="s">
        <v>54</v>
      </c>
      <c r="C80" s="44" t="s">
        <v>107</v>
      </c>
      <c r="D80" s="45" t="s">
        <v>55</v>
      </c>
      <c r="E80" s="105"/>
      <c r="F80" s="46">
        <v>4040</v>
      </c>
      <c r="G80" s="46"/>
      <c r="H80" s="46">
        <v>4040</v>
      </c>
      <c r="I80" s="47">
        <v>0</v>
      </c>
      <c r="J80" s="88"/>
      <c r="K80" s="47">
        <v>0</v>
      </c>
      <c r="L80" s="46">
        <v>4040</v>
      </c>
      <c r="M80" s="46"/>
      <c r="N80" s="46">
        <v>4040</v>
      </c>
      <c r="O80" s="94"/>
      <c r="P80" s="94"/>
    </row>
    <row r="81" spans="1:17" ht="37.9" customHeight="1" x14ac:dyDescent="0.2">
      <c r="A81" s="49"/>
      <c r="B81" s="50" t="s">
        <v>108</v>
      </c>
      <c r="C81" s="51" t="s">
        <v>109</v>
      </c>
      <c r="D81" s="52" t="s">
        <v>26</v>
      </c>
      <c r="E81" s="106"/>
      <c r="F81" s="53">
        <f t="shared" ref="F81:N83" si="12">F82</f>
        <v>280</v>
      </c>
      <c r="G81" s="53">
        <f t="shared" si="12"/>
        <v>0</v>
      </c>
      <c r="H81" s="53">
        <f t="shared" si="12"/>
        <v>280</v>
      </c>
      <c r="I81" s="54">
        <f t="shared" si="12"/>
        <v>0</v>
      </c>
      <c r="J81" s="53">
        <f>J82</f>
        <v>0</v>
      </c>
      <c r="K81" s="54">
        <f t="shared" si="12"/>
        <v>0</v>
      </c>
      <c r="L81" s="53">
        <f t="shared" si="12"/>
        <v>280</v>
      </c>
      <c r="M81" s="53">
        <f t="shared" si="12"/>
        <v>0</v>
      </c>
      <c r="N81" s="53">
        <f t="shared" si="12"/>
        <v>280</v>
      </c>
      <c r="O81" s="95"/>
      <c r="P81" s="95"/>
    </row>
    <row r="82" spans="1:17" ht="64.150000000000006" customHeight="1" x14ac:dyDescent="0.2">
      <c r="A82" s="42"/>
      <c r="B82" s="43" t="s">
        <v>110</v>
      </c>
      <c r="C82" s="44" t="s">
        <v>111</v>
      </c>
      <c r="D82" s="45" t="s">
        <v>26</v>
      </c>
      <c r="E82" s="105"/>
      <c r="F82" s="46">
        <f t="shared" si="12"/>
        <v>280</v>
      </c>
      <c r="G82" s="46">
        <f t="shared" si="12"/>
        <v>0</v>
      </c>
      <c r="H82" s="46">
        <f t="shared" si="12"/>
        <v>280</v>
      </c>
      <c r="I82" s="47">
        <f t="shared" si="12"/>
        <v>0</v>
      </c>
      <c r="J82" s="88"/>
      <c r="K82" s="47">
        <f t="shared" si="12"/>
        <v>0</v>
      </c>
      <c r="L82" s="46">
        <f t="shared" si="12"/>
        <v>280</v>
      </c>
      <c r="M82" s="46">
        <f t="shared" si="12"/>
        <v>0</v>
      </c>
      <c r="N82" s="46">
        <f t="shared" si="12"/>
        <v>280</v>
      </c>
      <c r="O82" s="94"/>
      <c r="P82" s="94"/>
    </row>
    <row r="83" spans="1:17" ht="36.6" customHeight="1" x14ac:dyDescent="0.2">
      <c r="A83" s="42"/>
      <c r="B83" s="43" t="s">
        <v>112</v>
      </c>
      <c r="C83" s="44" t="s">
        <v>113</v>
      </c>
      <c r="D83" s="45" t="s">
        <v>26</v>
      </c>
      <c r="E83" s="105"/>
      <c r="F83" s="46">
        <f t="shared" si="12"/>
        <v>280</v>
      </c>
      <c r="G83" s="46">
        <f t="shared" si="12"/>
        <v>0</v>
      </c>
      <c r="H83" s="46">
        <f t="shared" si="12"/>
        <v>280</v>
      </c>
      <c r="I83" s="47">
        <f t="shared" si="12"/>
        <v>0</v>
      </c>
      <c r="J83" s="88"/>
      <c r="K83" s="47">
        <f t="shared" si="12"/>
        <v>0</v>
      </c>
      <c r="L83" s="46">
        <f t="shared" si="12"/>
        <v>280</v>
      </c>
      <c r="M83" s="46">
        <f t="shared" si="12"/>
        <v>0</v>
      </c>
      <c r="N83" s="46">
        <f t="shared" si="12"/>
        <v>280</v>
      </c>
      <c r="O83" s="94"/>
      <c r="P83" s="94"/>
    </row>
    <row r="84" spans="1:17" ht="31.5" x14ac:dyDescent="0.2">
      <c r="A84" s="42"/>
      <c r="B84" s="43" t="s">
        <v>74</v>
      </c>
      <c r="C84" s="44" t="s">
        <v>113</v>
      </c>
      <c r="D84" s="45" t="s">
        <v>75</v>
      </c>
      <c r="E84" s="105"/>
      <c r="F84" s="46">
        <v>280</v>
      </c>
      <c r="G84" s="46"/>
      <c r="H84" s="46">
        <v>280</v>
      </c>
      <c r="I84" s="47">
        <v>0</v>
      </c>
      <c r="J84" s="88"/>
      <c r="K84" s="47">
        <v>0</v>
      </c>
      <c r="L84" s="46">
        <v>280</v>
      </c>
      <c r="M84" s="46"/>
      <c r="N84" s="46">
        <v>280</v>
      </c>
      <c r="O84" s="94"/>
      <c r="P84" s="94"/>
    </row>
    <row r="85" spans="1:17" ht="47.25" x14ac:dyDescent="0.2">
      <c r="A85" s="19" t="s">
        <v>114</v>
      </c>
      <c r="B85" s="20" t="s">
        <v>115</v>
      </c>
      <c r="C85" s="21" t="s">
        <v>116</v>
      </c>
      <c r="D85" s="22" t="s">
        <v>26</v>
      </c>
      <c r="E85" s="104"/>
      <c r="F85" s="23">
        <f t="shared" ref="F85:N85" si="13">F86+F96+F108</f>
        <v>44242.8</v>
      </c>
      <c r="G85" s="23">
        <f t="shared" si="13"/>
        <v>0</v>
      </c>
      <c r="H85" s="23">
        <f t="shared" si="13"/>
        <v>44242.8</v>
      </c>
      <c r="I85" s="24">
        <f t="shared" si="13"/>
        <v>57252.9</v>
      </c>
      <c r="J85" s="23">
        <f t="shared" si="13"/>
        <v>0</v>
      </c>
      <c r="K85" s="24">
        <f t="shared" si="13"/>
        <v>57252.9</v>
      </c>
      <c r="L85" s="23">
        <f t="shared" si="13"/>
        <v>101495.7</v>
      </c>
      <c r="M85" s="23">
        <f t="shared" si="13"/>
        <v>0</v>
      </c>
      <c r="N85" s="23">
        <f t="shared" si="13"/>
        <v>101495.7</v>
      </c>
      <c r="O85" s="93"/>
      <c r="P85" s="93"/>
      <c r="Q85" s="25"/>
    </row>
    <row r="86" spans="1:17" ht="33.6" customHeight="1" x14ac:dyDescent="0.2">
      <c r="A86" s="49"/>
      <c r="B86" s="50" t="s">
        <v>117</v>
      </c>
      <c r="C86" s="51" t="s">
        <v>118</v>
      </c>
      <c r="D86" s="52" t="s">
        <v>26</v>
      </c>
      <c r="E86" s="106"/>
      <c r="F86" s="53">
        <f t="shared" ref="F86:N86" si="14">F87</f>
        <v>1449.1000000000001</v>
      </c>
      <c r="G86" s="53">
        <f t="shared" si="14"/>
        <v>0</v>
      </c>
      <c r="H86" s="53">
        <f t="shared" si="14"/>
        <v>1449.1000000000001</v>
      </c>
      <c r="I86" s="54">
        <f t="shared" si="14"/>
        <v>13560.400000000001</v>
      </c>
      <c r="J86" s="53">
        <f t="shared" si="14"/>
        <v>0</v>
      </c>
      <c r="K86" s="54">
        <f t="shared" si="14"/>
        <v>13560.400000000001</v>
      </c>
      <c r="L86" s="53">
        <f t="shared" si="14"/>
        <v>15009.5</v>
      </c>
      <c r="M86" s="53">
        <f t="shared" si="14"/>
        <v>0</v>
      </c>
      <c r="N86" s="53">
        <f t="shared" si="14"/>
        <v>15009.5</v>
      </c>
      <c r="O86" s="95"/>
      <c r="P86" s="95"/>
    </row>
    <row r="87" spans="1:17" ht="47.25" x14ac:dyDescent="0.2">
      <c r="A87" s="42"/>
      <c r="B87" s="43" t="s">
        <v>119</v>
      </c>
      <c r="C87" s="44" t="s">
        <v>120</v>
      </c>
      <c r="D87" s="45" t="s">
        <v>26</v>
      </c>
      <c r="E87" s="105"/>
      <c r="F87" s="46">
        <f>F94+F88+F90</f>
        <v>1449.1000000000001</v>
      </c>
      <c r="G87" s="46">
        <f>G94+G88+G90+G92</f>
        <v>0</v>
      </c>
      <c r="H87" s="46">
        <f>H94+H88+H90+H92</f>
        <v>1449.1000000000001</v>
      </c>
      <c r="I87" s="47">
        <f>I94+I90</f>
        <v>13560.400000000001</v>
      </c>
      <c r="J87" s="46">
        <f>J94+J88+J90+J92</f>
        <v>0</v>
      </c>
      <c r="K87" s="47">
        <f>K94+K90+K92</f>
        <v>13560.400000000001</v>
      </c>
      <c r="L87" s="46">
        <f>L94+L88+L90</f>
        <v>15009.5</v>
      </c>
      <c r="M87" s="46">
        <f>M94+M88+M90+M92</f>
        <v>0</v>
      </c>
      <c r="N87" s="46">
        <f>N94+N88+N90+N92</f>
        <v>15009.5</v>
      </c>
      <c r="O87" s="94"/>
      <c r="P87" s="94"/>
    </row>
    <row r="88" spans="1:17" ht="31.5" x14ac:dyDescent="0.2">
      <c r="A88" s="42"/>
      <c r="B88" s="123" t="s">
        <v>121</v>
      </c>
      <c r="C88" s="44" t="s">
        <v>122</v>
      </c>
      <c r="D88" s="45"/>
      <c r="E88" s="105"/>
      <c r="F88" s="46">
        <v>735.3</v>
      </c>
      <c r="G88" s="46"/>
      <c r="H88" s="46">
        <f>SUM(F88)</f>
        <v>735.3</v>
      </c>
      <c r="I88" s="47"/>
      <c r="J88" s="88"/>
      <c r="K88" s="47"/>
      <c r="L88" s="46">
        <f t="shared" ref="L88:N89" si="15">SUM(F88)</f>
        <v>735.3</v>
      </c>
      <c r="M88" s="46">
        <f t="shared" si="15"/>
        <v>0</v>
      </c>
      <c r="N88" s="46">
        <f t="shared" si="15"/>
        <v>735.3</v>
      </c>
      <c r="O88" s="94"/>
      <c r="P88" s="94"/>
    </row>
    <row r="89" spans="1:17" ht="31.5" x14ac:dyDescent="0.2">
      <c r="A89" s="42"/>
      <c r="B89" s="43" t="s">
        <v>35</v>
      </c>
      <c r="C89" s="44" t="s">
        <v>122</v>
      </c>
      <c r="D89" s="45" t="s">
        <v>36</v>
      </c>
      <c r="E89" s="105"/>
      <c r="F89" s="46">
        <v>735.3</v>
      </c>
      <c r="G89" s="46"/>
      <c r="H89" s="46">
        <f>SUM(F89)</f>
        <v>735.3</v>
      </c>
      <c r="I89" s="47"/>
      <c r="J89" s="88"/>
      <c r="K89" s="47"/>
      <c r="L89" s="46">
        <f t="shared" si="15"/>
        <v>735.3</v>
      </c>
      <c r="M89" s="46">
        <f t="shared" si="15"/>
        <v>0</v>
      </c>
      <c r="N89" s="46">
        <f t="shared" si="15"/>
        <v>735.3</v>
      </c>
      <c r="O89" s="94"/>
      <c r="P89" s="94"/>
    </row>
    <row r="90" spans="1:17" ht="63" x14ac:dyDescent="0.2">
      <c r="A90" s="42"/>
      <c r="B90" s="122" t="s">
        <v>450</v>
      </c>
      <c r="C90" s="44" t="s">
        <v>449</v>
      </c>
      <c r="D90" s="45"/>
      <c r="E90" s="105"/>
      <c r="F90" s="46">
        <f>SUM(F91)</f>
        <v>294.2</v>
      </c>
      <c r="G90" s="46">
        <v>-294.2</v>
      </c>
      <c r="H90" s="46">
        <f>SUM(F90+G90)</f>
        <v>0</v>
      </c>
      <c r="I90" s="47">
        <f>SUM(I91)</f>
        <v>5589.3</v>
      </c>
      <c r="J90" s="88">
        <v>-5589.3</v>
      </c>
      <c r="K90" s="47"/>
      <c r="L90" s="46">
        <f>SUM(F90+I90)</f>
        <v>5883.5</v>
      </c>
      <c r="M90" s="46">
        <f t="shared" ref="M90:N93" si="16">SUM(G90)+J90</f>
        <v>-5883.5</v>
      </c>
      <c r="N90" s="46">
        <f t="shared" si="16"/>
        <v>0</v>
      </c>
      <c r="O90" s="94"/>
      <c r="P90" s="94"/>
    </row>
    <row r="91" spans="1:17" ht="31.5" x14ac:dyDescent="0.2">
      <c r="A91" s="42"/>
      <c r="B91" s="43" t="s">
        <v>35</v>
      </c>
      <c r="C91" s="44" t="s">
        <v>449</v>
      </c>
      <c r="D91" s="45" t="s">
        <v>36</v>
      </c>
      <c r="E91" s="105"/>
      <c r="F91" s="46">
        <v>294.2</v>
      </c>
      <c r="G91" s="46">
        <v>-294.2</v>
      </c>
      <c r="H91" s="46">
        <f>SUM(F91+G91)</f>
        <v>0</v>
      </c>
      <c r="I91" s="47">
        <v>5589.3</v>
      </c>
      <c r="J91" s="88">
        <v>-5589.3</v>
      </c>
      <c r="K91" s="47"/>
      <c r="L91" s="46">
        <f>SUM(F91+I91)</f>
        <v>5883.5</v>
      </c>
      <c r="M91" s="46">
        <f t="shared" si="16"/>
        <v>-5883.5</v>
      </c>
      <c r="N91" s="46">
        <f t="shared" si="16"/>
        <v>0</v>
      </c>
      <c r="O91" s="94"/>
      <c r="P91" s="94"/>
    </row>
    <row r="92" spans="1:17" ht="63" x14ac:dyDescent="0.2">
      <c r="A92" s="42"/>
      <c r="B92" s="122" t="s">
        <v>450</v>
      </c>
      <c r="C92" s="125" t="s">
        <v>459</v>
      </c>
      <c r="D92" s="45"/>
      <c r="E92" s="105"/>
      <c r="F92" s="46"/>
      <c r="G92" s="46">
        <v>294.2</v>
      </c>
      <c r="H92" s="46">
        <f>SUM(G92)</f>
        <v>294.2</v>
      </c>
      <c r="I92" s="47"/>
      <c r="J92" s="88">
        <v>5589.3</v>
      </c>
      <c r="K92" s="88">
        <v>5589.3</v>
      </c>
      <c r="L92" s="46"/>
      <c r="M92" s="46">
        <f t="shared" si="16"/>
        <v>5883.5</v>
      </c>
      <c r="N92" s="46">
        <f t="shared" si="16"/>
        <v>5883.5</v>
      </c>
      <c r="O92" s="94"/>
      <c r="P92" s="94"/>
    </row>
    <row r="93" spans="1:17" ht="31.5" x14ac:dyDescent="0.2">
      <c r="A93" s="42"/>
      <c r="B93" s="43" t="s">
        <v>35</v>
      </c>
      <c r="C93" s="125" t="s">
        <v>459</v>
      </c>
      <c r="D93" s="45" t="s">
        <v>36</v>
      </c>
      <c r="E93" s="105"/>
      <c r="F93" s="46"/>
      <c r="G93" s="46">
        <v>294.2</v>
      </c>
      <c r="H93" s="46">
        <f>SUM(G93)</f>
        <v>294.2</v>
      </c>
      <c r="I93" s="47"/>
      <c r="J93" s="88">
        <v>5589.3</v>
      </c>
      <c r="K93" s="88">
        <v>5589.3</v>
      </c>
      <c r="L93" s="46"/>
      <c r="M93" s="46">
        <f t="shared" si="16"/>
        <v>5883.5</v>
      </c>
      <c r="N93" s="46">
        <f t="shared" si="16"/>
        <v>5883.5</v>
      </c>
      <c r="O93" s="94"/>
      <c r="P93" s="94"/>
    </row>
    <row r="94" spans="1:17" ht="36.6" customHeight="1" x14ac:dyDescent="0.2">
      <c r="A94" s="42"/>
      <c r="B94" s="43" t="s">
        <v>123</v>
      </c>
      <c r="C94" s="44" t="s">
        <v>124</v>
      </c>
      <c r="D94" s="45" t="s">
        <v>26</v>
      </c>
      <c r="E94" s="105"/>
      <c r="F94" s="46">
        <f t="shared" ref="F94:N94" si="17">F95</f>
        <v>419.6</v>
      </c>
      <c r="G94" s="46">
        <f t="shared" si="17"/>
        <v>0</v>
      </c>
      <c r="H94" s="46">
        <f t="shared" si="17"/>
        <v>419.6</v>
      </c>
      <c r="I94" s="47">
        <f t="shared" si="17"/>
        <v>7971.1</v>
      </c>
      <c r="J94" s="47">
        <f t="shared" si="17"/>
        <v>0</v>
      </c>
      <c r="K94" s="47">
        <f t="shared" si="17"/>
        <v>7971.1</v>
      </c>
      <c r="L94" s="46">
        <f t="shared" si="17"/>
        <v>8390.7000000000007</v>
      </c>
      <c r="M94" s="46">
        <f t="shared" si="17"/>
        <v>0</v>
      </c>
      <c r="N94" s="46">
        <f t="shared" si="17"/>
        <v>8390.7000000000007</v>
      </c>
      <c r="O94" s="94"/>
      <c r="P94" s="94"/>
    </row>
    <row r="95" spans="1:17" ht="31.5" x14ac:dyDescent="0.2">
      <c r="A95" s="42"/>
      <c r="B95" s="43" t="s">
        <v>35</v>
      </c>
      <c r="C95" s="44" t="s">
        <v>124</v>
      </c>
      <c r="D95" s="45" t="s">
        <v>36</v>
      </c>
      <c r="E95" s="105"/>
      <c r="F95" s="46">
        <v>419.6</v>
      </c>
      <c r="G95" s="46"/>
      <c r="H95" s="46">
        <f>419.6+G95</f>
        <v>419.6</v>
      </c>
      <c r="I95" s="47">
        <v>7971.1</v>
      </c>
      <c r="J95" s="88"/>
      <c r="K95" s="47">
        <f>7971.1+J95</f>
        <v>7971.1</v>
      </c>
      <c r="L95" s="46">
        <f>419.6+I95</f>
        <v>8390.7000000000007</v>
      </c>
      <c r="M95" s="46">
        <f>SUM(J95)</f>
        <v>0</v>
      </c>
      <c r="N95" s="46">
        <f>419.6+K95</f>
        <v>8390.7000000000007</v>
      </c>
      <c r="O95" s="94"/>
      <c r="P95" s="94"/>
    </row>
    <row r="96" spans="1:17" ht="35.450000000000003" customHeight="1" x14ac:dyDescent="0.2">
      <c r="A96" s="49"/>
      <c r="B96" s="50" t="s">
        <v>125</v>
      </c>
      <c r="C96" s="51" t="s">
        <v>126</v>
      </c>
      <c r="D96" s="52" t="s">
        <v>26</v>
      </c>
      <c r="E96" s="106"/>
      <c r="F96" s="53">
        <f t="shared" ref="F96:N96" si="18">F97+F105</f>
        <v>26691.7</v>
      </c>
      <c r="G96" s="53">
        <f>G97+G105</f>
        <v>0</v>
      </c>
      <c r="H96" s="53">
        <f>H97+H105</f>
        <v>26691.7</v>
      </c>
      <c r="I96" s="54">
        <f t="shared" si="18"/>
        <v>43692.5</v>
      </c>
      <c r="J96" s="53">
        <f t="shared" si="18"/>
        <v>0</v>
      </c>
      <c r="K96" s="54">
        <f t="shared" si="18"/>
        <v>43692.5</v>
      </c>
      <c r="L96" s="53">
        <f t="shared" si="18"/>
        <v>70384.2</v>
      </c>
      <c r="M96" s="53">
        <f t="shared" si="18"/>
        <v>0</v>
      </c>
      <c r="N96" s="53">
        <f t="shared" si="18"/>
        <v>70384.2</v>
      </c>
      <c r="O96" s="95"/>
      <c r="P96" s="95"/>
    </row>
    <row r="97" spans="1:17" ht="31.5" x14ac:dyDescent="0.2">
      <c r="A97" s="42"/>
      <c r="B97" s="43" t="s">
        <v>127</v>
      </c>
      <c r="C97" s="44" t="s">
        <v>128</v>
      </c>
      <c r="D97" s="45" t="s">
        <v>26</v>
      </c>
      <c r="E97" s="105"/>
      <c r="F97" s="47">
        <f>F98+F103+F101</f>
        <v>20581.7</v>
      </c>
      <c r="G97" s="47">
        <f t="shared" ref="G97:N97" si="19">G98+G103+G101</f>
        <v>0</v>
      </c>
      <c r="H97" s="47">
        <f t="shared" si="19"/>
        <v>20581.7</v>
      </c>
      <c r="I97" s="47">
        <f t="shared" si="19"/>
        <v>43692.5</v>
      </c>
      <c r="J97" s="47">
        <f t="shared" si="19"/>
        <v>0</v>
      </c>
      <c r="K97" s="47">
        <f t="shared" si="19"/>
        <v>43692.5</v>
      </c>
      <c r="L97" s="47">
        <f t="shared" si="19"/>
        <v>64274.2</v>
      </c>
      <c r="M97" s="47">
        <f t="shared" si="19"/>
        <v>0</v>
      </c>
      <c r="N97" s="47">
        <f t="shared" si="19"/>
        <v>64274.2</v>
      </c>
      <c r="O97" s="94"/>
      <c r="P97" s="94"/>
    </row>
    <row r="98" spans="1:17" ht="49.15" customHeight="1" x14ac:dyDescent="0.2">
      <c r="A98" s="42"/>
      <c r="B98" s="43" t="s">
        <v>129</v>
      </c>
      <c r="C98" s="44" t="s">
        <v>130</v>
      </c>
      <c r="D98" s="45" t="s">
        <v>26</v>
      </c>
      <c r="E98" s="105"/>
      <c r="F98" s="46">
        <f>F99+F100</f>
        <v>20281.7</v>
      </c>
      <c r="G98" s="46">
        <f>G99+G100</f>
        <v>0</v>
      </c>
      <c r="H98" s="46">
        <f>H99+H100</f>
        <v>20281.7</v>
      </c>
      <c r="I98" s="47">
        <f>I99+I100</f>
        <v>17036</v>
      </c>
      <c r="J98" s="88">
        <f>SUM(J99+J100)</f>
        <v>0</v>
      </c>
      <c r="K98" s="47">
        <f>K99+K100</f>
        <v>17036</v>
      </c>
      <c r="L98" s="46">
        <f>L99+L100</f>
        <v>37317.699999999997</v>
      </c>
      <c r="M98" s="46">
        <f>M99+M100</f>
        <v>0</v>
      </c>
      <c r="N98" s="46">
        <f>N99+N100</f>
        <v>37317.699999999997</v>
      </c>
      <c r="O98" s="94"/>
      <c r="P98" s="94"/>
    </row>
    <row r="99" spans="1:17" ht="31.5" x14ac:dyDescent="0.2">
      <c r="A99" s="42"/>
      <c r="B99" s="43" t="s">
        <v>35</v>
      </c>
      <c r="C99" s="44" t="s">
        <v>130</v>
      </c>
      <c r="D99" s="45" t="s">
        <v>36</v>
      </c>
      <c r="E99" s="105"/>
      <c r="F99" s="56">
        <v>19201.7</v>
      </c>
      <c r="G99" s="56">
        <v>-60.2</v>
      </c>
      <c r="H99" s="56">
        <f>SUM(F99)+G99</f>
        <v>19141.5</v>
      </c>
      <c r="I99" s="47">
        <v>0</v>
      </c>
      <c r="J99" s="111">
        <f>26656.5-26656.5</f>
        <v>0</v>
      </c>
      <c r="K99" s="111">
        <f>SUM(J99)</f>
        <v>0</v>
      </c>
      <c r="L99" s="56">
        <f>SUM(F99)</f>
        <v>19201.7</v>
      </c>
      <c r="M99" s="56">
        <f>SUM(J99)+G99</f>
        <v>-60.2</v>
      </c>
      <c r="N99" s="56">
        <f>SUM(H99)</f>
        <v>19141.5</v>
      </c>
      <c r="O99" s="94"/>
      <c r="P99" s="94"/>
    </row>
    <row r="100" spans="1:17" ht="31.5" x14ac:dyDescent="0.2">
      <c r="A100" s="42"/>
      <c r="B100" s="43" t="s">
        <v>131</v>
      </c>
      <c r="C100" s="44" t="s">
        <v>130</v>
      </c>
      <c r="D100" s="45" t="s">
        <v>132</v>
      </c>
      <c r="E100" s="105"/>
      <c r="F100" s="56">
        <v>1080</v>
      </c>
      <c r="G100" s="56">
        <v>60.2</v>
      </c>
      <c r="H100" s="56">
        <f>SUM(F100:G100)</f>
        <v>1140.2</v>
      </c>
      <c r="I100" s="47">
        <v>17036</v>
      </c>
      <c r="J100" s="46"/>
      <c r="K100" s="111">
        <f>SUM(I100)</f>
        <v>17036</v>
      </c>
      <c r="L100" s="56">
        <f>SUM(F100+I100)</f>
        <v>18116</v>
      </c>
      <c r="M100" s="56">
        <f>SUM(J100)+G100</f>
        <v>60.2</v>
      </c>
      <c r="N100" s="56">
        <f>SUM(H100+K100)</f>
        <v>18176.2</v>
      </c>
      <c r="O100" s="94"/>
      <c r="P100" s="94"/>
    </row>
    <row r="101" spans="1:17" ht="94.5" x14ac:dyDescent="0.2">
      <c r="A101" s="42"/>
      <c r="B101" s="43" t="s">
        <v>133</v>
      </c>
      <c r="C101" s="44" t="s">
        <v>134</v>
      </c>
      <c r="D101" s="45"/>
      <c r="E101" s="105"/>
      <c r="F101" s="132">
        <f>F102</f>
        <v>0</v>
      </c>
      <c r="G101" s="132">
        <f t="shared" ref="G101:N101" si="20">G102</f>
        <v>0</v>
      </c>
      <c r="H101" s="132">
        <f t="shared" si="20"/>
        <v>0</v>
      </c>
      <c r="I101" s="132">
        <f t="shared" si="20"/>
        <v>26656.5</v>
      </c>
      <c r="J101" s="132">
        <f t="shared" si="20"/>
        <v>0</v>
      </c>
      <c r="K101" s="132">
        <f t="shared" si="20"/>
        <v>26656.5</v>
      </c>
      <c r="L101" s="132">
        <f t="shared" si="20"/>
        <v>26656.5</v>
      </c>
      <c r="M101" s="132">
        <f t="shared" si="20"/>
        <v>0</v>
      </c>
      <c r="N101" s="132">
        <f t="shared" si="20"/>
        <v>26656.5</v>
      </c>
      <c r="O101" s="94"/>
      <c r="P101" s="94"/>
    </row>
    <row r="102" spans="1:17" ht="34.15" customHeight="1" x14ac:dyDescent="0.2">
      <c r="A102" s="42"/>
      <c r="B102" s="43" t="s">
        <v>35</v>
      </c>
      <c r="C102" s="44" t="s">
        <v>134</v>
      </c>
      <c r="D102" s="45" t="s">
        <v>36</v>
      </c>
      <c r="E102" s="105"/>
      <c r="F102" s="56"/>
      <c r="G102" s="56"/>
      <c r="H102" s="56"/>
      <c r="I102" s="47">
        <v>26656.5</v>
      </c>
      <c r="J102" s="88"/>
      <c r="K102" s="111">
        <f>SUM(I102:J102)</f>
        <v>26656.5</v>
      </c>
      <c r="L102" s="56">
        <f>F102+I102</f>
        <v>26656.5</v>
      </c>
      <c r="M102" s="56">
        <f>G102+J102</f>
        <v>0</v>
      </c>
      <c r="N102" s="56">
        <f>H102+K102</f>
        <v>26656.5</v>
      </c>
      <c r="O102" s="94"/>
      <c r="P102" s="94"/>
    </row>
    <row r="103" spans="1:17" ht="63" x14ac:dyDescent="0.2">
      <c r="A103" s="42"/>
      <c r="B103" s="43" t="s">
        <v>135</v>
      </c>
      <c r="C103" s="44" t="s">
        <v>136</v>
      </c>
      <c r="D103" s="45" t="s">
        <v>26</v>
      </c>
      <c r="E103" s="105"/>
      <c r="F103" s="46">
        <f>F104</f>
        <v>300</v>
      </c>
      <c r="G103" s="46">
        <f>G104</f>
        <v>0</v>
      </c>
      <c r="H103" s="46">
        <f>H104</f>
        <v>300</v>
      </c>
      <c r="I103" s="47">
        <f>I104</f>
        <v>0</v>
      </c>
      <c r="J103" s="88"/>
      <c r="K103" s="47">
        <f>K104</f>
        <v>0</v>
      </c>
      <c r="L103" s="46">
        <f>L104</f>
        <v>300</v>
      </c>
      <c r="M103" s="46">
        <f>M104</f>
        <v>0</v>
      </c>
      <c r="N103" s="46">
        <f>N104</f>
        <v>300</v>
      </c>
      <c r="O103" s="94"/>
      <c r="P103" s="94"/>
    </row>
    <row r="104" spans="1:17" ht="31.5" x14ac:dyDescent="0.2">
      <c r="A104" s="42"/>
      <c r="B104" s="43" t="s">
        <v>35</v>
      </c>
      <c r="C104" s="44" t="s">
        <v>136</v>
      </c>
      <c r="D104" s="45" t="s">
        <v>36</v>
      </c>
      <c r="E104" s="105"/>
      <c r="F104" s="46">
        <v>300</v>
      </c>
      <c r="G104" s="46"/>
      <c r="H104" s="46">
        <v>300</v>
      </c>
      <c r="I104" s="47">
        <v>0</v>
      </c>
      <c r="J104" s="88"/>
      <c r="K104" s="47">
        <v>0</v>
      </c>
      <c r="L104" s="46">
        <v>300</v>
      </c>
      <c r="M104" s="46"/>
      <c r="N104" s="46">
        <v>300</v>
      </c>
      <c r="O104" s="94"/>
      <c r="P104" s="94"/>
    </row>
    <row r="105" spans="1:17" ht="31.5" x14ac:dyDescent="0.2">
      <c r="A105" s="42"/>
      <c r="B105" s="43" t="s">
        <v>137</v>
      </c>
      <c r="C105" s="44" t="s">
        <v>138</v>
      </c>
      <c r="D105" s="45" t="s">
        <v>26</v>
      </c>
      <c r="E105" s="105"/>
      <c r="F105" s="46">
        <f t="shared" ref="F105:N106" si="21">F106</f>
        <v>6110</v>
      </c>
      <c r="G105" s="46">
        <f t="shared" si="21"/>
        <v>0</v>
      </c>
      <c r="H105" s="46">
        <f t="shared" si="21"/>
        <v>6110</v>
      </c>
      <c r="I105" s="47">
        <f t="shared" si="21"/>
        <v>0</v>
      </c>
      <c r="J105" s="88"/>
      <c r="K105" s="47">
        <f t="shared" si="21"/>
        <v>0</v>
      </c>
      <c r="L105" s="46">
        <f t="shared" si="21"/>
        <v>6110</v>
      </c>
      <c r="M105" s="46">
        <f t="shared" si="21"/>
        <v>0</v>
      </c>
      <c r="N105" s="46">
        <f t="shared" si="21"/>
        <v>6110</v>
      </c>
      <c r="O105" s="94"/>
      <c r="P105" s="94"/>
    </row>
    <row r="106" spans="1:17" ht="63" x14ac:dyDescent="0.2">
      <c r="A106" s="42"/>
      <c r="B106" s="43" t="s">
        <v>135</v>
      </c>
      <c r="C106" s="44" t="s">
        <v>139</v>
      </c>
      <c r="D106" s="45" t="s">
        <v>26</v>
      </c>
      <c r="E106" s="105"/>
      <c r="F106" s="46">
        <f t="shared" si="21"/>
        <v>6110</v>
      </c>
      <c r="G106" s="46">
        <f t="shared" si="21"/>
        <v>0</v>
      </c>
      <c r="H106" s="46">
        <f t="shared" si="21"/>
        <v>6110</v>
      </c>
      <c r="I106" s="47">
        <f t="shared" si="21"/>
        <v>0</v>
      </c>
      <c r="J106" s="88"/>
      <c r="K106" s="47">
        <f t="shared" si="21"/>
        <v>0</v>
      </c>
      <c r="L106" s="46">
        <f t="shared" si="21"/>
        <v>6110</v>
      </c>
      <c r="M106" s="46">
        <f t="shared" si="21"/>
        <v>0</v>
      </c>
      <c r="N106" s="46">
        <f t="shared" si="21"/>
        <v>6110</v>
      </c>
      <c r="O106" s="94"/>
      <c r="P106" s="94"/>
    </row>
    <row r="107" spans="1:17" ht="31.5" x14ac:dyDescent="0.2">
      <c r="A107" s="42"/>
      <c r="B107" s="43" t="s">
        <v>35</v>
      </c>
      <c r="C107" s="44" t="s">
        <v>139</v>
      </c>
      <c r="D107" s="45" t="s">
        <v>36</v>
      </c>
      <c r="E107" s="105"/>
      <c r="F107" s="56">
        <f>4810+1300</f>
        <v>6110</v>
      </c>
      <c r="G107" s="56"/>
      <c r="H107" s="56">
        <f>4810+1300</f>
        <v>6110</v>
      </c>
      <c r="I107" s="47">
        <v>0</v>
      </c>
      <c r="J107" s="111"/>
      <c r="K107" s="47">
        <v>0</v>
      </c>
      <c r="L107" s="56">
        <f>4810+1300</f>
        <v>6110</v>
      </c>
      <c r="M107" s="56"/>
      <c r="N107" s="56">
        <f>4810+1300</f>
        <v>6110</v>
      </c>
      <c r="O107" s="94"/>
      <c r="P107" s="94"/>
    </row>
    <row r="108" spans="1:17" ht="15.75" x14ac:dyDescent="0.2">
      <c r="A108" s="49"/>
      <c r="B108" s="50" t="s">
        <v>140</v>
      </c>
      <c r="C108" s="51" t="s">
        <v>141</v>
      </c>
      <c r="D108" s="52" t="s">
        <v>26</v>
      </c>
      <c r="E108" s="106"/>
      <c r="F108" s="53">
        <f>F109+F116+F113+F119</f>
        <v>16102</v>
      </c>
      <c r="G108" s="53">
        <f>G109+G116+G113+G119</f>
        <v>0</v>
      </c>
      <c r="H108" s="53">
        <f>H109+H116+H113+H119</f>
        <v>16102</v>
      </c>
      <c r="I108" s="54">
        <f>I109+I116</f>
        <v>0</v>
      </c>
      <c r="J108" s="53">
        <f>J109+J116</f>
        <v>0</v>
      </c>
      <c r="K108" s="54">
        <f>K109+K116</f>
        <v>0</v>
      </c>
      <c r="L108" s="53">
        <f>L109+L116+L113+L119</f>
        <v>16102</v>
      </c>
      <c r="M108" s="53">
        <f>M109+M116+M113+M119</f>
        <v>0</v>
      </c>
      <c r="N108" s="53">
        <f>N109+N116+N113+N119</f>
        <v>16102</v>
      </c>
      <c r="O108" s="95"/>
      <c r="P108" s="95"/>
      <c r="Q108" s="55"/>
    </row>
    <row r="109" spans="1:17" ht="47.25" x14ac:dyDescent="0.2">
      <c r="A109" s="42"/>
      <c r="B109" s="43" t="s">
        <v>142</v>
      </c>
      <c r="C109" s="44" t="s">
        <v>143</v>
      </c>
      <c r="D109" s="45" t="s">
        <v>26</v>
      </c>
      <c r="E109" s="105"/>
      <c r="F109" s="46">
        <f>F110</f>
        <v>8158.5999999999995</v>
      </c>
      <c r="G109" s="46">
        <f>G110</f>
        <v>0</v>
      </c>
      <c r="H109" s="46">
        <f>H110</f>
        <v>8158.5999999999995</v>
      </c>
      <c r="I109" s="47">
        <f>I110</f>
        <v>0</v>
      </c>
      <c r="J109" s="88"/>
      <c r="K109" s="47">
        <f>K110</f>
        <v>0</v>
      </c>
      <c r="L109" s="46">
        <f>L110</f>
        <v>8158.5999999999995</v>
      </c>
      <c r="M109" s="46">
        <f>M110</f>
        <v>0</v>
      </c>
      <c r="N109" s="46">
        <f>N110</f>
        <v>8158.5999999999995</v>
      </c>
      <c r="O109" s="94"/>
      <c r="P109" s="94"/>
    </row>
    <row r="110" spans="1:17" ht="31.5" x14ac:dyDescent="0.2">
      <c r="A110" s="42"/>
      <c r="B110" s="43" t="s">
        <v>39</v>
      </c>
      <c r="C110" s="44" t="s">
        <v>144</v>
      </c>
      <c r="D110" s="45" t="s">
        <v>26</v>
      </c>
      <c r="E110" s="105"/>
      <c r="F110" s="46">
        <f>F111+F112</f>
        <v>8158.5999999999995</v>
      </c>
      <c r="G110" s="46">
        <f>G111+G112</f>
        <v>0</v>
      </c>
      <c r="H110" s="46">
        <f>H111+H112</f>
        <v>8158.5999999999995</v>
      </c>
      <c r="I110" s="47">
        <f>I111+I112</f>
        <v>0</v>
      </c>
      <c r="J110" s="88"/>
      <c r="K110" s="47">
        <f>K111+K112</f>
        <v>0</v>
      </c>
      <c r="L110" s="46">
        <f>L111+L112</f>
        <v>8158.5999999999995</v>
      </c>
      <c r="M110" s="46">
        <f>M111+M112</f>
        <v>0</v>
      </c>
      <c r="N110" s="46">
        <f>N111+N112</f>
        <v>8158.5999999999995</v>
      </c>
      <c r="O110" s="94"/>
      <c r="P110" s="94"/>
    </row>
    <row r="111" spans="1:17" ht="64.900000000000006" customHeight="1" x14ac:dyDescent="0.2">
      <c r="A111" s="42"/>
      <c r="B111" s="43" t="s">
        <v>31</v>
      </c>
      <c r="C111" s="44" t="s">
        <v>144</v>
      </c>
      <c r="D111" s="45" t="s">
        <v>32</v>
      </c>
      <c r="E111" s="105"/>
      <c r="F111" s="46">
        <v>7905.2</v>
      </c>
      <c r="G111" s="46"/>
      <c r="H111" s="46">
        <v>7905.2</v>
      </c>
      <c r="I111" s="47">
        <v>0</v>
      </c>
      <c r="J111" s="88"/>
      <c r="K111" s="47">
        <v>0</v>
      </c>
      <c r="L111" s="46">
        <v>7905.2</v>
      </c>
      <c r="M111" s="46"/>
      <c r="N111" s="46">
        <v>7905.2</v>
      </c>
      <c r="O111" s="94"/>
      <c r="P111" s="94"/>
    </row>
    <row r="112" spans="1:17" ht="31.5" x14ac:dyDescent="0.2">
      <c r="A112" s="42"/>
      <c r="B112" s="43" t="s">
        <v>35</v>
      </c>
      <c r="C112" s="44" t="s">
        <v>144</v>
      </c>
      <c r="D112" s="45" t="s">
        <v>36</v>
      </c>
      <c r="E112" s="105"/>
      <c r="F112" s="46">
        <v>253.4</v>
      </c>
      <c r="G112" s="46"/>
      <c r="H112" s="46">
        <f>SUM(F112)</f>
        <v>253.4</v>
      </c>
      <c r="I112" s="47">
        <v>0</v>
      </c>
      <c r="J112" s="88"/>
      <c r="K112" s="47">
        <v>0</v>
      </c>
      <c r="L112" s="46">
        <f t="shared" ref="L112:N115" si="22">SUM(F112)</f>
        <v>253.4</v>
      </c>
      <c r="M112" s="46">
        <f t="shared" si="22"/>
        <v>0</v>
      </c>
      <c r="N112" s="46">
        <f t="shared" si="22"/>
        <v>253.4</v>
      </c>
      <c r="O112" s="94"/>
      <c r="P112" s="94"/>
    </row>
    <row r="113" spans="1:17" ht="15.75" x14ac:dyDescent="0.2">
      <c r="A113" s="42"/>
      <c r="B113" s="43" t="s">
        <v>145</v>
      </c>
      <c r="C113" s="44" t="s">
        <v>146</v>
      </c>
      <c r="D113" s="45"/>
      <c r="E113" s="105"/>
      <c r="F113" s="46">
        <f>SUM(F115)</f>
        <v>600</v>
      </c>
      <c r="G113" s="46"/>
      <c r="H113" s="46">
        <f>SUM(H115)</f>
        <v>600</v>
      </c>
      <c r="I113" s="47"/>
      <c r="J113" s="88"/>
      <c r="K113" s="47"/>
      <c r="L113" s="46">
        <f t="shared" si="22"/>
        <v>600</v>
      </c>
      <c r="M113" s="46">
        <f t="shared" si="22"/>
        <v>0</v>
      </c>
      <c r="N113" s="46">
        <f t="shared" si="22"/>
        <v>600</v>
      </c>
      <c r="O113" s="94"/>
      <c r="P113" s="94"/>
    </row>
    <row r="114" spans="1:17" ht="15.75" x14ac:dyDescent="0.2">
      <c r="A114" s="42"/>
      <c r="B114" s="43" t="s">
        <v>147</v>
      </c>
      <c r="C114" s="44" t="s">
        <v>148</v>
      </c>
      <c r="D114" s="45"/>
      <c r="E114" s="105"/>
      <c r="F114" s="46">
        <v>600</v>
      </c>
      <c r="G114" s="46"/>
      <c r="H114" s="46">
        <f>SUM(F114)</f>
        <v>600</v>
      </c>
      <c r="I114" s="47"/>
      <c r="J114" s="88"/>
      <c r="K114" s="47"/>
      <c r="L114" s="46">
        <f t="shared" si="22"/>
        <v>600</v>
      </c>
      <c r="M114" s="46">
        <f t="shared" si="22"/>
        <v>0</v>
      </c>
      <c r="N114" s="46">
        <f t="shared" si="22"/>
        <v>600</v>
      </c>
      <c r="O114" s="94"/>
      <c r="P114" s="94"/>
    </row>
    <row r="115" spans="1:17" ht="31.5" x14ac:dyDescent="0.2">
      <c r="A115" s="42"/>
      <c r="B115" s="43" t="s">
        <v>35</v>
      </c>
      <c r="C115" s="44" t="s">
        <v>148</v>
      </c>
      <c r="D115" s="45" t="s">
        <v>36</v>
      </c>
      <c r="E115" s="105"/>
      <c r="F115" s="46">
        <v>600</v>
      </c>
      <c r="G115" s="46"/>
      <c r="H115" s="46">
        <f>SUM(F115)</f>
        <v>600</v>
      </c>
      <c r="I115" s="47"/>
      <c r="J115" s="88"/>
      <c r="K115" s="47"/>
      <c r="L115" s="46">
        <f t="shared" si="22"/>
        <v>600</v>
      </c>
      <c r="M115" s="46">
        <f t="shared" si="22"/>
        <v>0</v>
      </c>
      <c r="N115" s="46">
        <f t="shared" si="22"/>
        <v>600</v>
      </c>
      <c r="O115" s="94"/>
      <c r="P115" s="94"/>
    </row>
    <row r="116" spans="1:17" ht="47.25" x14ac:dyDescent="0.2">
      <c r="A116" s="42"/>
      <c r="B116" s="43" t="s">
        <v>149</v>
      </c>
      <c r="C116" s="44" t="s">
        <v>150</v>
      </c>
      <c r="D116" s="45" t="s">
        <v>26</v>
      </c>
      <c r="E116" s="105"/>
      <c r="F116" s="46">
        <f t="shared" ref="F116:N117" si="23">F117</f>
        <v>6273.4</v>
      </c>
      <c r="G116" s="46">
        <f t="shared" si="23"/>
        <v>0</v>
      </c>
      <c r="H116" s="46">
        <f t="shared" si="23"/>
        <v>6273.4</v>
      </c>
      <c r="I116" s="47">
        <f t="shared" si="23"/>
        <v>0</v>
      </c>
      <c r="J116" s="88"/>
      <c r="K116" s="47">
        <f t="shared" si="23"/>
        <v>0</v>
      </c>
      <c r="L116" s="46">
        <f t="shared" si="23"/>
        <v>6273.4</v>
      </c>
      <c r="M116" s="46">
        <f t="shared" si="23"/>
        <v>0</v>
      </c>
      <c r="N116" s="46">
        <f t="shared" si="23"/>
        <v>6273.4</v>
      </c>
      <c r="O116" s="94"/>
      <c r="P116" s="94"/>
    </row>
    <row r="117" spans="1:17" ht="31.5" x14ac:dyDescent="0.2">
      <c r="A117" s="42"/>
      <c r="B117" s="43" t="s">
        <v>39</v>
      </c>
      <c r="C117" s="44" t="s">
        <v>151</v>
      </c>
      <c r="D117" s="45" t="s">
        <v>26</v>
      </c>
      <c r="E117" s="105"/>
      <c r="F117" s="46">
        <f t="shared" si="23"/>
        <v>6273.4</v>
      </c>
      <c r="G117" s="46">
        <f t="shared" si="23"/>
        <v>0</v>
      </c>
      <c r="H117" s="46">
        <f t="shared" si="23"/>
        <v>6273.4</v>
      </c>
      <c r="I117" s="47">
        <f t="shared" si="23"/>
        <v>0</v>
      </c>
      <c r="J117" s="88"/>
      <c r="K117" s="47">
        <f t="shared" si="23"/>
        <v>0</v>
      </c>
      <c r="L117" s="46">
        <f t="shared" si="23"/>
        <v>6273.4</v>
      </c>
      <c r="M117" s="46">
        <f t="shared" si="23"/>
        <v>0</v>
      </c>
      <c r="N117" s="46">
        <f t="shared" si="23"/>
        <v>6273.4</v>
      </c>
      <c r="O117" s="94"/>
      <c r="P117" s="94"/>
    </row>
    <row r="118" spans="1:17" ht="31.5" x14ac:dyDescent="0.2">
      <c r="A118" s="42"/>
      <c r="B118" s="43" t="s">
        <v>74</v>
      </c>
      <c r="C118" s="44" t="s">
        <v>151</v>
      </c>
      <c r="D118" s="45" t="s">
        <v>75</v>
      </c>
      <c r="E118" s="105"/>
      <c r="F118" s="46">
        <v>6273.4</v>
      </c>
      <c r="G118" s="46"/>
      <c r="H118" s="46">
        <v>6273.4</v>
      </c>
      <c r="I118" s="47">
        <v>0</v>
      </c>
      <c r="J118" s="88"/>
      <c r="K118" s="47">
        <v>0</v>
      </c>
      <c r="L118" s="46">
        <v>6273.4</v>
      </c>
      <c r="M118" s="46"/>
      <c r="N118" s="46">
        <v>6273.4</v>
      </c>
      <c r="O118" s="94"/>
      <c r="P118" s="94"/>
    </row>
    <row r="119" spans="1:17" ht="31.5" x14ac:dyDescent="0.2">
      <c r="A119" s="42"/>
      <c r="B119" s="128" t="s">
        <v>152</v>
      </c>
      <c r="C119" s="44" t="s">
        <v>153</v>
      </c>
      <c r="D119" s="45"/>
      <c r="E119" s="105"/>
      <c r="F119" s="136">
        <v>1070</v>
      </c>
      <c r="G119" s="46">
        <f>SUM(G122)+G121</f>
        <v>0</v>
      </c>
      <c r="H119" s="46">
        <f>SUM(F119)</f>
        <v>1070</v>
      </c>
      <c r="I119" s="47"/>
      <c r="J119" s="88"/>
      <c r="K119" s="47"/>
      <c r="L119" s="46">
        <f>SUM(F120)</f>
        <v>1070</v>
      </c>
      <c r="M119" s="46">
        <f t="shared" ref="M119:N122" si="24">SUM(G119)</f>
        <v>0</v>
      </c>
      <c r="N119" s="46">
        <f t="shared" si="24"/>
        <v>1070</v>
      </c>
      <c r="O119" s="94"/>
      <c r="P119" s="94"/>
    </row>
    <row r="120" spans="1:17" ht="31.5" x14ac:dyDescent="0.2">
      <c r="A120" s="42"/>
      <c r="B120" s="43" t="s">
        <v>154</v>
      </c>
      <c r="C120" s="44" t="s">
        <v>155</v>
      </c>
      <c r="D120" s="45"/>
      <c r="E120" s="105"/>
      <c r="F120" s="136">
        <v>1070</v>
      </c>
      <c r="G120" s="46"/>
      <c r="H120" s="46">
        <f>SUM(F120)</f>
        <v>1070</v>
      </c>
      <c r="I120" s="47"/>
      <c r="J120" s="88"/>
      <c r="K120" s="47"/>
      <c r="L120" s="136">
        <v>1070</v>
      </c>
      <c r="M120" s="46">
        <f t="shared" si="24"/>
        <v>0</v>
      </c>
      <c r="N120" s="46">
        <f t="shared" si="24"/>
        <v>1070</v>
      </c>
      <c r="O120" s="94"/>
      <c r="P120" s="94"/>
    </row>
    <row r="121" spans="1:17" ht="31.5" x14ac:dyDescent="0.2">
      <c r="A121" s="42"/>
      <c r="B121" s="43" t="s">
        <v>35</v>
      </c>
      <c r="C121" s="44" t="s">
        <v>155</v>
      </c>
      <c r="D121" s="45" t="s">
        <v>36</v>
      </c>
      <c r="E121" s="105"/>
      <c r="F121" s="136">
        <v>151.30000000000001</v>
      </c>
      <c r="G121" s="46"/>
      <c r="H121" s="46">
        <f>SUM(F121)+G121</f>
        <v>151.30000000000001</v>
      </c>
      <c r="I121" s="47"/>
      <c r="J121" s="88"/>
      <c r="K121" s="47"/>
      <c r="L121" s="46">
        <f>SUM(F121)</f>
        <v>151.30000000000001</v>
      </c>
      <c r="M121" s="46">
        <f>SUM(G121)</f>
        <v>0</v>
      </c>
      <c r="N121" s="46">
        <f t="shared" si="24"/>
        <v>151.30000000000001</v>
      </c>
      <c r="O121" s="94"/>
      <c r="P121" s="94"/>
    </row>
    <row r="122" spans="1:17" ht="31.5" x14ac:dyDescent="0.2">
      <c r="A122" s="42"/>
      <c r="B122" s="43" t="s">
        <v>131</v>
      </c>
      <c r="C122" s="44" t="s">
        <v>155</v>
      </c>
      <c r="D122" s="45" t="s">
        <v>132</v>
      </c>
      <c r="E122" s="105"/>
      <c r="F122" s="46">
        <v>918.7</v>
      </c>
      <c r="G122" s="46"/>
      <c r="H122" s="46">
        <f>SUM(F122)+G122</f>
        <v>918.7</v>
      </c>
      <c r="I122" s="47"/>
      <c r="J122" s="88"/>
      <c r="K122" s="47"/>
      <c r="L122" s="46">
        <f>SUM(F122)</f>
        <v>918.7</v>
      </c>
      <c r="M122" s="46">
        <f t="shared" si="24"/>
        <v>0</v>
      </c>
      <c r="N122" s="46">
        <f t="shared" si="24"/>
        <v>918.7</v>
      </c>
      <c r="O122" s="94"/>
      <c r="P122" s="94"/>
    </row>
    <row r="123" spans="1:17" ht="31.5" x14ac:dyDescent="0.2">
      <c r="A123" s="19" t="s">
        <v>156</v>
      </c>
      <c r="B123" s="20" t="s">
        <v>157</v>
      </c>
      <c r="C123" s="21" t="s">
        <v>158</v>
      </c>
      <c r="D123" s="22" t="s">
        <v>26</v>
      </c>
      <c r="E123" s="104"/>
      <c r="F123" s="23">
        <f t="shared" ref="F123:N123" si="25">F124+F128+F139+F157+F163</f>
        <v>220876.4</v>
      </c>
      <c r="G123" s="23">
        <f t="shared" si="25"/>
        <v>6249.5</v>
      </c>
      <c r="H123" s="23">
        <f t="shared" si="25"/>
        <v>227125.9</v>
      </c>
      <c r="I123" s="24">
        <f t="shared" si="25"/>
        <v>2305903.0000000005</v>
      </c>
      <c r="J123" s="23">
        <f t="shared" si="25"/>
        <v>0</v>
      </c>
      <c r="K123" s="24">
        <f t="shared" si="25"/>
        <v>2305903.0000000005</v>
      </c>
      <c r="L123" s="23">
        <f t="shared" si="25"/>
        <v>2526779.4</v>
      </c>
      <c r="M123" s="23">
        <f t="shared" si="25"/>
        <v>6249.5</v>
      </c>
      <c r="N123" s="23">
        <f t="shared" si="25"/>
        <v>2533028.9</v>
      </c>
      <c r="O123" s="93"/>
      <c r="P123" s="93"/>
      <c r="Q123" s="25"/>
    </row>
    <row r="124" spans="1:17" ht="20.45" customHeight="1" x14ac:dyDescent="0.2">
      <c r="A124" s="49"/>
      <c r="B124" s="50" t="s">
        <v>159</v>
      </c>
      <c r="C124" s="51" t="s">
        <v>160</v>
      </c>
      <c r="D124" s="52" t="s">
        <v>26</v>
      </c>
      <c r="E124" s="106"/>
      <c r="F124" s="53">
        <f t="shared" ref="F124:K126" si="26">F125</f>
        <v>2930.2</v>
      </c>
      <c r="G124" s="53">
        <f t="shared" si="26"/>
        <v>0</v>
      </c>
      <c r="H124" s="53">
        <f t="shared" si="26"/>
        <v>2930.2</v>
      </c>
      <c r="I124" s="54">
        <f t="shared" si="26"/>
        <v>3074.2</v>
      </c>
      <c r="J124" s="87"/>
      <c r="K124" s="54">
        <f t="shared" si="26"/>
        <v>3074.2</v>
      </c>
      <c r="L124" s="53">
        <f>L125</f>
        <v>6004.4</v>
      </c>
      <c r="M124" s="53">
        <f t="shared" ref="L124:N126" si="27">M125</f>
        <v>0</v>
      </c>
      <c r="N124" s="53">
        <f t="shared" si="27"/>
        <v>6004.4</v>
      </c>
      <c r="O124" s="95"/>
      <c r="P124" s="95"/>
    </row>
    <row r="125" spans="1:17" ht="31.5" x14ac:dyDescent="0.2">
      <c r="A125" s="42"/>
      <c r="B125" s="43" t="s">
        <v>161</v>
      </c>
      <c r="C125" s="44" t="s">
        <v>162</v>
      </c>
      <c r="D125" s="45" t="s">
        <v>26</v>
      </c>
      <c r="E125" s="105"/>
      <c r="F125" s="46">
        <f t="shared" si="26"/>
        <v>2930.2</v>
      </c>
      <c r="G125" s="46">
        <f t="shared" si="26"/>
        <v>0</v>
      </c>
      <c r="H125" s="46">
        <f t="shared" si="26"/>
        <v>2930.2</v>
      </c>
      <c r="I125" s="47">
        <f t="shared" si="26"/>
        <v>3074.2</v>
      </c>
      <c r="J125" s="88"/>
      <c r="K125" s="47">
        <f t="shared" si="26"/>
        <v>3074.2</v>
      </c>
      <c r="L125" s="46">
        <f t="shared" si="27"/>
        <v>6004.4</v>
      </c>
      <c r="M125" s="46">
        <f t="shared" si="27"/>
        <v>0</v>
      </c>
      <c r="N125" s="46">
        <f t="shared" si="27"/>
        <v>6004.4</v>
      </c>
      <c r="O125" s="94"/>
      <c r="P125" s="94"/>
    </row>
    <row r="126" spans="1:17" ht="24" customHeight="1" x14ac:dyDescent="0.2">
      <c r="A126" s="42"/>
      <c r="B126" s="43" t="s">
        <v>163</v>
      </c>
      <c r="C126" s="44" t="s">
        <v>164</v>
      </c>
      <c r="D126" s="45" t="s">
        <v>26</v>
      </c>
      <c r="E126" s="105"/>
      <c r="F126" s="46">
        <f t="shared" si="26"/>
        <v>2930.2</v>
      </c>
      <c r="G126" s="46">
        <f t="shared" si="26"/>
        <v>0</v>
      </c>
      <c r="H126" s="46">
        <f t="shared" si="26"/>
        <v>2930.2</v>
      </c>
      <c r="I126" s="47">
        <f t="shared" si="26"/>
        <v>3074.2</v>
      </c>
      <c r="J126" s="88"/>
      <c r="K126" s="47">
        <f t="shared" si="26"/>
        <v>3074.2</v>
      </c>
      <c r="L126" s="46">
        <f t="shared" si="27"/>
        <v>6004.4</v>
      </c>
      <c r="M126" s="46">
        <f t="shared" si="27"/>
        <v>0</v>
      </c>
      <c r="N126" s="46">
        <f t="shared" si="27"/>
        <v>6004.4</v>
      </c>
      <c r="O126" s="94"/>
      <c r="P126" s="94"/>
    </row>
    <row r="127" spans="1:17" ht="15.75" x14ac:dyDescent="0.2">
      <c r="A127" s="42"/>
      <c r="B127" s="43" t="s">
        <v>54</v>
      </c>
      <c r="C127" s="44" t="s">
        <v>164</v>
      </c>
      <c r="D127" s="45" t="s">
        <v>55</v>
      </c>
      <c r="E127" s="105"/>
      <c r="F127" s="46">
        <v>2930.2</v>
      </c>
      <c r="G127" s="46"/>
      <c r="H127" s="46">
        <v>2930.2</v>
      </c>
      <c r="I127" s="47">
        <v>3074.2</v>
      </c>
      <c r="J127" s="88"/>
      <c r="K127" s="47">
        <v>3074.2</v>
      </c>
      <c r="L127" s="46">
        <f>2930.2+I127</f>
        <v>6004.4</v>
      </c>
      <c r="M127" s="46"/>
      <c r="N127" s="46">
        <f>2930.2+K127</f>
        <v>6004.4</v>
      </c>
      <c r="O127" s="94"/>
      <c r="P127" s="94"/>
    </row>
    <row r="128" spans="1:17" ht="31.5" x14ac:dyDescent="0.2">
      <c r="A128" s="49"/>
      <c r="B128" s="50" t="s">
        <v>165</v>
      </c>
      <c r="C128" s="51" t="s">
        <v>166</v>
      </c>
      <c r="D128" s="52" t="s">
        <v>26</v>
      </c>
      <c r="E128" s="106"/>
      <c r="F128" s="53">
        <f t="shared" ref="F128:N128" si="28">F129</f>
        <v>14792.9</v>
      </c>
      <c r="G128" s="53">
        <f t="shared" si="28"/>
        <v>0</v>
      </c>
      <c r="H128" s="53">
        <f t="shared" si="28"/>
        <v>14792.900000000001</v>
      </c>
      <c r="I128" s="54">
        <f t="shared" si="28"/>
        <v>2301493.8000000003</v>
      </c>
      <c r="J128" s="53">
        <f t="shared" si="28"/>
        <v>0</v>
      </c>
      <c r="K128" s="54">
        <f t="shared" si="28"/>
        <v>2301493.8000000003</v>
      </c>
      <c r="L128" s="53">
        <f t="shared" si="28"/>
        <v>2316286.7000000002</v>
      </c>
      <c r="M128" s="53">
        <f t="shared" si="28"/>
        <v>0</v>
      </c>
      <c r="N128" s="53">
        <f t="shared" si="28"/>
        <v>2316286.7000000002</v>
      </c>
      <c r="O128" s="95"/>
      <c r="P128" s="95"/>
      <c r="Q128" s="55"/>
    </row>
    <row r="129" spans="1:17" ht="39.6" customHeight="1" x14ac:dyDescent="0.2">
      <c r="A129" s="42"/>
      <c r="B129" s="43" t="s">
        <v>167</v>
      </c>
      <c r="C129" s="44" t="s">
        <v>168</v>
      </c>
      <c r="D129" s="45" t="s">
        <v>26</v>
      </c>
      <c r="E129" s="105"/>
      <c r="F129" s="46">
        <f>F130+F133+F135+F137</f>
        <v>14792.9</v>
      </c>
      <c r="G129" s="46">
        <f>SUM(G130+G137)</f>
        <v>0</v>
      </c>
      <c r="H129" s="46">
        <f>H130+H133+H135+H137</f>
        <v>14792.900000000001</v>
      </c>
      <c r="I129" s="47">
        <f t="shared" ref="I129:N129" si="29">I130+I133+I135+I137</f>
        <v>2301493.8000000003</v>
      </c>
      <c r="J129" s="46">
        <f t="shared" si="29"/>
        <v>0</v>
      </c>
      <c r="K129" s="47">
        <f t="shared" si="29"/>
        <v>2301493.8000000003</v>
      </c>
      <c r="L129" s="46">
        <f t="shared" si="29"/>
        <v>2316286.7000000002</v>
      </c>
      <c r="M129" s="46"/>
      <c r="N129" s="46">
        <f t="shared" si="29"/>
        <v>2316286.7000000002</v>
      </c>
      <c r="O129" s="94"/>
      <c r="P129" s="94"/>
      <c r="Q129" s="48"/>
    </row>
    <row r="130" spans="1:17" ht="15.75" x14ac:dyDescent="0.2">
      <c r="A130" s="42"/>
      <c r="B130" s="43" t="s">
        <v>169</v>
      </c>
      <c r="C130" s="44" t="s">
        <v>170</v>
      </c>
      <c r="D130" s="45" t="s">
        <v>26</v>
      </c>
      <c r="E130" s="105"/>
      <c r="F130" s="46">
        <f>F131+F132</f>
        <v>1750.4</v>
      </c>
      <c r="G130" s="46">
        <f>G131+G132</f>
        <v>535.70000000000005</v>
      </c>
      <c r="H130" s="46">
        <f>H131+H132</f>
        <v>2286.1000000000004</v>
      </c>
      <c r="I130" s="47">
        <f>I131</f>
        <v>1529.5</v>
      </c>
      <c r="J130" s="46">
        <f>J131</f>
        <v>0</v>
      </c>
      <c r="K130" s="47">
        <f>K131</f>
        <v>1529.5</v>
      </c>
      <c r="L130" s="46">
        <f>L131+F130</f>
        <v>3279.9</v>
      </c>
      <c r="M130" s="46">
        <f>M131+M132</f>
        <v>535.70000000000005</v>
      </c>
      <c r="N130" s="46">
        <f>N131+N132</f>
        <v>3815.6000000000004</v>
      </c>
      <c r="O130" s="94"/>
      <c r="P130" s="94"/>
    </row>
    <row r="131" spans="1:17" ht="31.5" x14ac:dyDescent="0.2">
      <c r="A131" s="42"/>
      <c r="B131" s="43" t="s">
        <v>35</v>
      </c>
      <c r="C131" s="44" t="s">
        <v>170</v>
      </c>
      <c r="D131" s="45" t="s">
        <v>36</v>
      </c>
      <c r="E131" s="105"/>
      <c r="F131" s="46">
        <v>0</v>
      </c>
      <c r="G131" s="46"/>
      <c r="H131" s="46">
        <f>SUM(F131+G131)</f>
        <v>0</v>
      </c>
      <c r="I131" s="47">
        <v>1529.5</v>
      </c>
      <c r="J131" s="88"/>
      <c r="K131" s="88">
        <f>SUM(I131)</f>
        <v>1529.5</v>
      </c>
      <c r="L131" s="46">
        <f>SUM(I131)</f>
        <v>1529.5</v>
      </c>
      <c r="M131" s="46">
        <f>SUM(G131+J131)</f>
        <v>0</v>
      </c>
      <c r="N131" s="46">
        <f>SUM(K131)</f>
        <v>1529.5</v>
      </c>
      <c r="O131" s="94"/>
      <c r="P131" s="94"/>
    </row>
    <row r="132" spans="1:17" ht="31.5" x14ac:dyDescent="0.2">
      <c r="A132" s="42"/>
      <c r="B132" s="43" t="s">
        <v>131</v>
      </c>
      <c r="C132" s="44" t="s">
        <v>170</v>
      </c>
      <c r="D132" s="45" t="s">
        <v>132</v>
      </c>
      <c r="E132" s="105"/>
      <c r="F132" s="46">
        <v>1750.4</v>
      </c>
      <c r="G132" s="46">
        <v>535.70000000000005</v>
      </c>
      <c r="H132" s="46">
        <f>SUM(F132)+G132</f>
        <v>2286.1000000000004</v>
      </c>
      <c r="I132" s="47"/>
      <c r="J132" s="88"/>
      <c r="K132" s="88"/>
      <c r="L132" s="46">
        <f>SUM(F132)</f>
        <v>1750.4</v>
      </c>
      <c r="M132" s="46">
        <f>SUM(G132)</f>
        <v>535.70000000000005</v>
      </c>
      <c r="N132" s="46">
        <f>SUM(H132)</f>
        <v>2286.1000000000004</v>
      </c>
      <c r="O132" s="94"/>
      <c r="P132" s="94"/>
    </row>
    <row r="133" spans="1:17" ht="20.45" customHeight="1" x14ac:dyDescent="0.2">
      <c r="A133" s="42"/>
      <c r="B133" s="43" t="s">
        <v>171</v>
      </c>
      <c r="C133" s="44" t="s">
        <v>172</v>
      </c>
      <c r="D133" s="45" t="s">
        <v>26</v>
      </c>
      <c r="E133" s="105"/>
      <c r="F133" s="46">
        <f>F134</f>
        <v>11457.5</v>
      </c>
      <c r="G133" s="46">
        <f>G134</f>
        <v>0</v>
      </c>
      <c r="H133" s="46">
        <f>H134</f>
        <v>11457.5</v>
      </c>
      <c r="I133" s="47">
        <f>I134</f>
        <v>2280029.1</v>
      </c>
      <c r="J133" s="88"/>
      <c r="K133" s="47">
        <f>K134</f>
        <v>2280029.1</v>
      </c>
      <c r="L133" s="46">
        <f>L134</f>
        <v>2291486.6</v>
      </c>
      <c r="M133" s="46">
        <f>M134</f>
        <v>0</v>
      </c>
      <c r="N133" s="46">
        <f>N134</f>
        <v>2291486.6</v>
      </c>
      <c r="O133" s="94"/>
      <c r="P133" s="94"/>
    </row>
    <row r="134" spans="1:17" ht="31.5" x14ac:dyDescent="0.2">
      <c r="A134" s="42"/>
      <c r="B134" s="43" t="s">
        <v>131</v>
      </c>
      <c r="C134" s="44" t="s">
        <v>172</v>
      </c>
      <c r="D134" s="45" t="s">
        <v>132</v>
      </c>
      <c r="E134" s="105"/>
      <c r="F134" s="46">
        <v>11457.5</v>
      </c>
      <c r="G134" s="46"/>
      <c r="H134" s="46">
        <v>11457.5</v>
      </c>
      <c r="I134" s="47">
        <v>2280029.1</v>
      </c>
      <c r="J134" s="88"/>
      <c r="K134" s="47">
        <v>2280029.1</v>
      </c>
      <c r="L134" s="46">
        <f>11457.5+I134</f>
        <v>2291486.6</v>
      </c>
      <c r="M134" s="46"/>
      <c r="N134" s="46">
        <f>11457.5+K134</f>
        <v>2291486.6</v>
      </c>
      <c r="O134" s="94"/>
      <c r="P134" s="94"/>
    </row>
    <row r="135" spans="1:17" ht="15.75" x14ac:dyDescent="0.2">
      <c r="A135" s="42"/>
      <c r="B135" s="43" t="s">
        <v>173</v>
      </c>
      <c r="C135" s="44" t="s">
        <v>174</v>
      </c>
      <c r="D135" s="45" t="s">
        <v>26</v>
      </c>
      <c r="E135" s="105"/>
      <c r="F135" s="46">
        <f>F136</f>
        <v>386.1</v>
      </c>
      <c r="G135" s="46">
        <f>G136</f>
        <v>0</v>
      </c>
      <c r="H135" s="46">
        <f>H136</f>
        <v>386.1</v>
      </c>
      <c r="I135" s="47">
        <f>I136</f>
        <v>7335.5</v>
      </c>
      <c r="J135" s="88"/>
      <c r="K135" s="47">
        <f>K136</f>
        <v>7335.5</v>
      </c>
      <c r="L135" s="46">
        <f>L136</f>
        <v>7721.6</v>
      </c>
      <c r="M135" s="46">
        <f>M136</f>
        <v>0</v>
      </c>
      <c r="N135" s="46">
        <f>N136</f>
        <v>7721.6</v>
      </c>
      <c r="O135" s="94"/>
      <c r="P135" s="94"/>
    </row>
    <row r="136" spans="1:17" ht="31.5" x14ac:dyDescent="0.2">
      <c r="A136" s="42"/>
      <c r="B136" s="43" t="s">
        <v>131</v>
      </c>
      <c r="C136" s="44" t="s">
        <v>174</v>
      </c>
      <c r="D136" s="45" t="s">
        <v>132</v>
      </c>
      <c r="E136" s="105"/>
      <c r="F136" s="46">
        <v>386.1</v>
      </c>
      <c r="G136" s="46"/>
      <c r="H136" s="46">
        <f>SUM(F136)</f>
        <v>386.1</v>
      </c>
      <c r="I136" s="78">
        <f>14200-6864.5</f>
        <v>7335.5</v>
      </c>
      <c r="J136" s="88"/>
      <c r="K136" s="78">
        <f>14200-6864.5</f>
        <v>7335.5</v>
      </c>
      <c r="L136" s="78">
        <f>SUM(F136+I136)</f>
        <v>7721.6</v>
      </c>
      <c r="M136" s="46">
        <f>SUM(G136)</f>
        <v>0</v>
      </c>
      <c r="N136" s="78">
        <f>SUM(H136+K136)</f>
        <v>7721.6</v>
      </c>
      <c r="O136" s="94"/>
      <c r="P136" s="94"/>
    </row>
    <row r="137" spans="1:17" ht="15.75" x14ac:dyDescent="0.2">
      <c r="A137" s="42"/>
      <c r="B137" s="43" t="s">
        <v>175</v>
      </c>
      <c r="C137" s="44" t="s">
        <v>176</v>
      </c>
      <c r="D137" s="45" t="s">
        <v>26</v>
      </c>
      <c r="E137" s="105"/>
      <c r="F137" s="46">
        <f>F138</f>
        <v>1198.9000000000001</v>
      </c>
      <c r="G137" s="46">
        <f>G138</f>
        <v>-535.70000000000005</v>
      </c>
      <c r="H137" s="46">
        <f>H138</f>
        <v>663.2</v>
      </c>
      <c r="I137" s="47">
        <f>I138</f>
        <v>12599.699999999999</v>
      </c>
      <c r="J137" s="88"/>
      <c r="K137" s="47">
        <f>K138</f>
        <v>12599.699999999999</v>
      </c>
      <c r="L137" s="46">
        <f>L138</f>
        <v>13798.599999999999</v>
      </c>
      <c r="M137" s="46">
        <f>M138</f>
        <v>-535.70000000000005</v>
      </c>
      <c r="N137" s="46">
        <f>N138</f>
        <v>13262.899999999998</v>
      </c>
      <c r="O137" s="94"/>
      <c r="P137" s="94"/>
    </row>
    <row r="138" spans="1:17" ht="31.5" x14ac:dyDescent="0.2">
      <c r="A138" s="42"/>
      <c r="B138" s="43" t="s">
        <v>131</v>
      </c>
      <c r="C138" s="44" t="s">
        <v>176</v>
      </c>
      <c r="D138" s="45" t="s">
        <v>132</v>
      </c>
      <c r="E138" s="105"/>
      <c r="F138" s="46">
        <v>1198.9000000000001</v>
      </c>
      <c r="G138" s="46">
        <v>-535.70000000000005</v>
      </c>
      <c r="H138" s="46">
        <f>1198.9+G138</f>
        <v>663.2</v>
      </c>
      <c r="I138" s="78">
        <f>11689.4+910.3</f>
        <v>12599.699999999999</v>
      </c>
      <c r="J138" s="88"/>
      <c r="K138" s="78">
        <f>11689.4+910.3</f>
        <v>12599.699999999999</v>
      </c>
      <c r="L138" s="46">
        <f>1198.9+I138</f>
        <v>13798.599999999999</v>
      </c>
      <c r="M138" s="46">
        <f>SUM(G138)</f>
        <v>-535.70000000000005</v>
      </c>
      <c r="N138" s="46">
        <f>1198.9+K138+M138</f>
        <v>13262.899999999998</v>
      </c>
      <c r="O138" s="94"/>
      <c r="P138" s="94"/>
    </row>
    <row r="139" spans="1:17" ht="15.75" x14ac:dyDescent="0.2">
      <c r="A139" s="49"/>
      <c r="B139" s="50" t="s">
        <v>177</v>
      </c>
      <c r="C139" s="51" t="s">
        <v>178</v>
      </c>
      <c r="D139" s="52" t="s">
        <v>26</v>
      </c>
      <c r="E139" s="106"/>
      <c r="F139" s="53">
        <f t="shared" ref="F139:N139" si="30">F140</f>
        <v>79322.899999999994</v>
      </c>
      <c r="G139" s="53">
        <f t="shared" si="30"/>
        <v>6249.5</v>
      </c>
      <c r="H139" s="53">
        <f t="shared" si="30"/>
        <v>85572.4</v>
      </c>
      <c r="I139" s="54">
        <f t="shared" si="30"/>
        <v>1335</v>
      </c>
      <c r="J139" s="53">
        <f t="shared" si="30"/>
        <v>0</v>
      </c>
      <c r="K139" s="54">
        <f t="shared" si="30"/>
        <v>1335</v>
      </c>
      <c r="L139" s="53">
        <f t="shared" si="30"/>
        <v>80657.899999999994</v>
      </c>
      <c r="M139" s="53">
        <f t="shared" si="30"/>
        <v>6249.5</v>
      </c>
      <c r="N139" s="53">
        <f t="shared" si="30"/>
        <v>86907.4</v>
      </c>
      <c r="O139" s="95"/>
      <c r="P139" s="95"/>
      <c r="Q139" s="55"/>
    </row>
    <row r="140" spans="1:17" ht="34.9" customHeight="1" x14ac:dyDescent="0.2">
      <c r="A140" s="42"/>
      <c r="B140" s="43" t="s">
        <v>179</v>
      </c>
      <c r="C140" s="44" t="s">
        <v>180</v>
      </c>
      <c r="D140" s="45" t="s">
        <v>26</v>
      </c>
      <c r="E140" s="105"/>
      <c r="F140" s="46">
        <f>F141+F143+F145+F147+F151+F153+F149+F155</f>
        <v>79322.899999999994</v>
      </c>
      <c r="G140" s="46">
        <f>G141+G143+G145+G147+G151+G153+G149+G155</f>
        <v>6249.5</v>
      </c>
      <c r="H140" s="46">
        <f>H141+H143+H145+H147+H151+H153+H149+H155</f>
        <v>85572.4</v>
      </c>
      <c r="I140" s="47">
        <f>I141+I143+I145+I147+I151+I153+I155</f>
        <v>1335</v>
      </c>
      <c r="J140" s="88">
        <f>SUM(J155)</f>
        <v>0</v>
      </c>
      <c r="K140" s="47">
        <f>K141+K143+K145+K147+K151+K153+K155</f>
        <v>1335</v>
      </c>
      <c r="L140" s="46">
        <f>L141+L143+L145+L147+L151+L153+L149+L155</f>
        <v>80657.899999999994</v>
      </c>
      <c r="M140" s="46">
        <f>SUM(G140)</f>
        <v>6249.5</v>
      </c>
      <c r="N140" s="46">
        <f>N141+N143+N145+N147+N151+N153+N149+N155</f>
        <v>86907.4</v>
      </c>
      <c r="O140" s="94"/>
      <c r="P140" s="94"/>
      <c r="Q140" s="48"/>
    </row>
    <row r="141" spans="1:17" ht="15.75" x14ac:dyDescent="0.2">
      <c r="A141" s="42"/>
      <c r="B141" s="43" t="s">
        <v>181</v>
      </c>
      <c r="C141" s="44" t="s">
        <v>182</v>
      </c>
      <c r="D141" s="45" t="s">
        <v>26</v>
      </c>
      <c r="E141" s="105"/>
      <c r="F141" s="46">
        <f>F142</f>
        <v>54041</v>
      </c>
      <c r="G141" s="46">
        <f>G142</f>
        <v>598</v>
      </c>
      <c r="H141" s="46">
        <f>H142</f>
        <v>54639</v>
      </c>
      <c r="I141" s="47">
        <f>I142</f>
        <v>0</v>
      </c>
      <c r="J141" s="88"/>
      <c r="K141" s="47">
        <f>K142</f>
        <v>0</v>
      </c>
      <c r="L141" s="46">
        <f>L142</f>
        <v>54041</v>
      </c>
      <c r="M141" s="46">
        <f>M142</f>
        <v>598</v>
      </c>
      <c r="N141" s="46">
        <f>N142</f>
        <v>54639</v>
      </c>
      <c r="O141" s="94"/>
      <c r="P141" s="94"/>
    </row>
    <row r="142" spans="1:17" ht="31.5" x14ac:dyDescent="0.2">
      <c r="A142" s="42"/>
      <c r="B142" s="43" t="s">
        <v>35</v>
      </c>
      <c r="C142" s="44" t="s">
        <v>182</v>
      </c>
      <c r="D142" s="45" t="s">
        <v>36</v>
      </c>
      <c r="E142" s="105"/>
      <c r="F142" s="46">
        <v>54041</v>
      </c>
      <c r="G142" s="46">
        <v>598</v>
      </c>
      <c r="H142" s="46">
        <f>SUM(F142)+G142</f>
        <v>54639</v>
      </c>
      <c r="I142" s="47">
        <v>0</v>
      </c>
      <c r="J142" s="88"/>
      <c r="K142" s="47">
        <v>0</v>
      </c>
      <c r="L142" s="46">
        <f>SUM(F142)</f>
        <v>54041</v>
      </c>
      <c r="M142" s="46">
        <f>SUM(G142)</f>
        <v>598</v>
      </c>
      <c r="N142" s="46">
        <f>SUM(H142)</f>
        <v>54639</v>
      </c>
      <c r="O142" s="94"/>
      <c r="P142" s="94"/>
    </row>
    <row r="143" spans="1:17" ht="15.75" x14ac:dyDescent="0.2">
      <c r="A143" s="42"/>
      <c r="B143" s="43" t="s">
        <v>183</v>
      </c>
      <c r="C143" s="44" t="s">
        <v>184</v>
      </c>
      <c r="D143" s="45" t="s">
        <v>26</v>
      </c>
      <c r="E143" s="105"/>
      <c r="F143" s="46">
        <f t="shared" ref="F143:N143" si="31">F144</f>
        <v>4842.6000000000004</v>
      </c>
      <c r="G143" s="46">
        <f t="shared" si="31"/>
        <v>5271.5</v>
      </c>
      <c r="H143" s="46">
        <f t="shared" si="31"/>
        <v>10114.1</v>
      </c>
      <c r="I143" s="47">
        <f t="shared" si="31"/>
        <v>75</v>
      </c>
      <c r="J143" s="46">
        <f t="shared" si="31"/>
        <v>0</v>
      </c>
      <c r="K143" s="47">
        <f t="shared" si="31"/>
        <v>75</v>
      </c>
      <c r="L143" s="46">
        <f t="shared" si="31"/>
        <v>4917.6000000000004</v>
      </c>
      <c r="M143" s="46">
        <f t="shared" si="31"/>
        <v>5271.5</v>
      </c>
      <c r="N143" s="46">
        <f t="shared" si="31"/>
        <v>10189.1</v>
      </c>
      <c r="O143" s="94"/>
      <c r="P143" s="94"/>
    </row>
    <row r="144" spans="1:17" ht="31.5" x14ac:dyDescent="0.2">
      <c r="A144" s="42"/>
      <c r="B144" s="43" t="s">
        <v>35</v>
      </c>
      <c r="C144" s="44" t="s">
        <v>184</v>
      </c>
      <c r="D144" s="45" t="s">
        <v>36</v>
      </c>
      <c r="E144" s="105"/>
      <c r="F144" s="46">
        <v>4842.6000000000004</v>
      </c>
      <c r="G144" s="46">
        <v>5271.5</v>
      </c>
      <c r="H144" s="46">
        <f>SUM(F144)+G144</f>
        <v>10114.1</v>
      </c>
      <c r="I144" s="47">
        <v>75</v>
      </c>
      <c r="J144" s="88"/>
      <c r="K144" s="47">
        <f>SUM(I144)</f>
        <v>75</v>
      </c>
      <c r="L144" s="46">
        <f>SUM(F144+I144)</f>
        <v>4917.6000000000004</v>
      </c>
      <c r="M144" s="46">
        <f>SUM(J144)+G144</f>
        <v>5271.5</v>
      </c>
      <c r="N144" s="46">
        <f>SUM(H144+K144)</f>
        <v>10189.1</v>
      </c>
      <c r="O144" s="94"/>
      <c r="P144" s="94"/>
    </row>
    <row r="145" spans="1:16" ht="15.75" x14ac:dyDescent="0.2">
      <c r="A145" s="42"/>
      <c r="B145" s="43" t="s">
        <v>185</v>
      </c>
      <c r="C145" s="44" t="s">
        <v>186</v>
      </c>
      <c r="D145" s="45" t="s">
        <v>26</v>
      </c>
      <c r="E145" s="105"/>
      <c r="F145" s="46">
        <f>F146</f>
        <v>2550</v>
      </c>
      <c r="G145" s="46">
        <f>G146</f>
        <v>0</v>
      </c>
      <c r="H145" s="46">
        <f>H146</f>
        <v>2550</v>
      </c>
      <c r="I145" s="47">
        <f>I146</f>
        <v>0</v>
      </c>
      <c r="J145" s="88"/>
      <c r="K145" s="47">
        <f>K146</f>
        <v>0</v>
      </c>
      <c r="L145" s="46">
        <f>L146</f>
        <v>2550</v>
      </c>
      <c r="M145" s="46">
        <f>M146</f>
        <v>0</v>
      </c>
      <c r="N145" s="46">
        <f>N146</f>
        <v>2550</v>
      </c>
      <c r="O145" s="94"/>
      <c r="P145" s="94"/>
    </row>
    <row r="146" spans="1:16" ht="31.5" x14ac:dyDescent="0.2">
      <c r="A146" s="42"/>
      <c r="B146" s="43" t="s">
        <v>35</v>
      </c>
      <c r="C146" s="44" t="s">
        <v>186</v>
      </c>
      <c r="D146" s="45" t="s">
        <v>36</v>
      </c>
      <c r="E146" s="105"/>
      <c r="F146" s="46">
        <v>2550</v>
      </c>
      <c r="G146" s="46"/>
      <c r="H146" s="46">
        <v>2550</v>
      </c>
      <c r="I146" s="47">
        <v>0</v>
      </c>
      <c r="J146" s="88"/>
      <c r="K146" s="47">
        <v>0</v>
      </c>
      <c r="L146" s="46">
        <v>2550</v>
      </c>
      <c r="M146" s="46"/>
      <c r="N146" s="46">
        <v>2550</v>
      </c>
      <c r="O146" s="94"/>
      <c r="P146" s="94"/>
    </row>
    <row r="147" spans="1:16" ht="15.75" x14ac:dyDescent="0.2">
      <c r="A147" s="42"/>
      <c r="B147" s="43" t="s">
        <v>187</v>
      </c>
      <c r="C147" s="44" t="s">
        <v>188</v>
      </c>
      <c r="D147" s="45" t="s">
        <v>26</v>
      </c>
      <c r="E147" s="105"/>
      <c r="F147" s="46">
        <f>F148</f>
        <v>1597.4</v>
      </c>
      <c r="G147" s="46">
        <f>G148</f>
        <v>0</v>
      </c>
      <c r="H147" s="46">
        <f>H148</f>
        <v>1597.4</v>
      </c>
      <c r="I147" s="47">
        <f>I148</f>
        <v>0</v>
      </c>
      <c r="J147" s="88"/>
      <c r="K147" s="47">
        <f>K148</f>
        <v>0</v>
      </c>
      <c r="L147" s="46">
        <f>L148</f>
        <v>1597.4</v>
      </c>
      <c r="M147" s="46">
        <f>M148</f>
        <v>0</v>
      </c>
      <c r="N147" s="46">
        <f>N148</f>
        <v>1597.4</v>
      </c>
      <c r="O147" s="94"/>
      <c r="P147" s="94"/>
    </row>
    <row r="148" spans="1:16" ht="31.5" x14ac:dyDescent="0.2">
      <c r="A148" s="42"/>
      <c r="B148" s="43" t="s">
        <v>35</v>
      </c>
      <c r="C148" s="44" t="s">
        <v>188</v>
      </c>
      <c r="D148" s="45" t="s">
        <v>36</v>
      </c>
      <c r="E148" s="105"/>
      <c r="F148" s="46">
        <v>1597.4</v>
      </c>
      <c r="G148" s="46"/>
      <c r="H148" s="46">
        <f>SUM(F148)</f>
        <v>1597.4</v>
      </c>
      <c r="I148" s="47">
        <v>0</v>
      </c>
      <c r="J148" s="88"/>
      <c r="K148" s="47">
        <v>0</v>
      </c>
      <c r="L148" s="46">
        <f t="shared" ref="L148:N150" si="32">SUM(F148)</f>
        <v>1597.4</v>
      </c>
      <c r="M148" s="46">
        <f t="shared" si="32"/>
        <v>0</v>
      </c>
      <c r="N148" s="46">
        <f t="shared" si="32"/>
        <v>1597.4</v>
      </c>
      <c r="O148" s="94"/>
      <c r="P148" s="94"/>
    </row>
    <row r="149" spans="1:16" ht="27" customHeight="1" x14ac:dyDescent="0.2">
      <c r="A149" s="42"/>
      <c r="B149" s="43" t="s">
        <v>189</v>
      </c>
      <c r="C149" s="44" t="s">
        <v>190</v>
      </c>
      <c r="D149" s="45"/>
      <c r="E149" s="105"/>
      <c r="F149" s="46">
        <v>700</v>
      </c>
      <c r="G149" s="46"/>
      <c r="H149" s="46">
        <f>SUM(F149)</f>
        <v>700</v>
      </c>
      <c r="I149" s="47"/>
      <c r="J149" s="88"/>
      <c r="K149" s="47"/>
      <c r="L149" s="46">
        <f t="shared" si="32"/>
        <v>700</v>
      </c>
      <c r="M149" s="46">
        <f t="shared" si="32"/>
        <v>0</v>
      </c>
      <c r="N149" s="46">
        <f t="shared" si="32"/>
        <v>700</v>
      </c>
      <c r="O149" s="94"/>
      <c r="P149" s="94"/>
    </row>
    <row r="150" spans="1:16" ht="31.5" x14ac:dyDescent="0.2">
      <c r="A150" s="42"/>
      <c r="B150" s="43" t="s">
        <v>35</v>
      </c>
      <c r="C150" s="44" t="s">
        <v>190</v>
      </c>
      <c r="D150" s="45" t="s">
        <v>36</v>
      </c>
      <c r="E150" s="105"/>
      <c r="F150" s="46">
        <v>700</v>
      </c>
      <c r="G150" s="46"/>
      <c r="H150" s="46">
        <f>SUM(F150)</f>
        <v>700</v>
      </c>
      <c r="I150" s="47"/>
      <c r="J150" s="88"/>
      <c r="K150" s="47"/>
      <c r="L150" s="46">
        <f t="shared" si="32"/>
        <v>700</v>
      </c>
      <c r="M150" s="46">
        <f t="shared" si="32"/>
        <v>0</v>
      </c>
      <c r="N150" s="46">
        <f t="shared" si="32"/>
        <v>700</v>
      </c>
      <c r="O150" s="94"/>
      <c r="P150" s="94"/>
    </row>
    <row r="151" spans="1:16" ht="31.5" x14ac:dyDescent="0.2">
      <c r="A151" s="42"/>
      <c r="B151" s="43" t="s">
        <v>191</v>
      </c>
      <c r="C151" s="44" t="s">
        <v>192</v>
      </c>
      <c r="D151" s="45" t="s">
        <v>26</v>
      </c>
      <c r="E151" s="105"/>
      <c r="F151" s="46">
        <f>F152</f>
        <v>4100</v>
      </c>
      <c r="G151" s="46">
        <f>G152</f>
        <v>0</v>
      </c>
      <c r="H151" s="46">
        <f>H152</f>
        <v>4100</v>
      </c>
      <c r="I151" s="47">
        <f>I152</f>
        <v>0</v>
      </c>
      <c r="J151" s="88"/>
      <c r="K151" s="47">
        <f>K152</f>
        <v>0</v>
      </c>
      <c r="L151" s="46">
        <f>L152</f>
        <v>4100</v>
      </c>
      <c r="M151" s="46">
        <f>M152</f>
        <v>0</v>
      </c>
      <c r="N151" s="46">
        <f>N152</f>
        <v>4100</v>
      </c>
      <c r="O151" s="94"/>
      <c r="P151" s="94"/>
    </row>
    <row r="152" spans="1:16" ht="31.5" x14ac:dyDescent="0.2">
      <c r="A152" s="42"/>
      <c r="B152" s="43" t="s">
        <v>35</v>
      </c>
      <c r="C152" s="44" t="s">
        <v>192</v>
      </c>
      <c r="D152" s="45" t="s">
        <v>36</v>
      </c>
      <c r="E152" s="105"/>
      <c r="F152" s="46">
        <v>4100</v>
      </c>
      <c r="G152" s="46"/>
      <c r="H152" s="46">
        <v>4100</v>
      </c>
      <c r="I152" s="47">
        <v>0</v>
      </c>
      <c r="J152" s="88"/>
      <c r="K152" s="47">
        <v>0</v>
      </c>
      <c r="L152" s="46">
        <v>4100</v>
      </c>
      <c r="M152" s="46"/>
      <c r="N152" s="46">
        <v>4100</v>
      </c>
      <c r="O152" s="94"/>
      <c r="P152" s="94"/>
    </row>
    <row r="153" spans="1:16" ht="34.9" customHeight="1" x14ac:dyDescent="0.2">
      <c r="A153" s="42"/>
      <c r="B153" s="43" t="s">
        <v>193</v>
      </c>
      <c r="C153" s="44" t="s">
        <v>194</v>
      </c>
      <c r="D153" s="45" t="s">
        <v>26</v>
      </c>
      <c r="E153" s="105"/>
      <c r="F153" s="46">
        <f>F154</f>
        <v>11425.5</v>
      </c>
      <c r="G153" s="46">
        <f>G154</f>
        <v>380</v>
      </c>
      <c r="H153" s="46">
        <f>H154</f>
        <v>11805.5</v>
      </c>
      <c r="I153" s="47">
        <f>I154</f>
        <v>0</v>
      </c>
      <c r="J153" s="88"/>
      <c r="K153" s="47">
        <f>K154</f>
        <v>0</v>
      </c>
      <c r="L153" s="46">
        <f>L154</f>
        <v>11425.5</v>
      </c>
      <c r="M153" s="46">
        <f>M154</f>
        <v>380</v>
      </c>
      <c r="N153" s="46">
        <f>N154</f>
        <v>11805.5</v>
      </c>
      <c r="O153" s="94"/>
      <c r="P153" s="94"/>
    </row>
    <row r="154" spans="1:16" ht="31.5" x14ac:dyDescent="0.2">
      <c r="A154" s="42"/>
      <c r="B154" s="43" t="s">
        <v>35</v>
      </c>
      <c r="C154" s="44" t="s">
        <v>194</v>
      </c>
      <c r="D154" s="45" t="s">
        <v>36</v>
      </c>
      <c r="E154" s="105"/>
      <c r="F154" s="56">
        <v>11425.5</v>
      </c>
      <c r="G154" s="56">
        <v>380</v>
      </c>
      <c r="H154" s="56">
        <f>SUM(F154)+G154</f>
        <v>11805.5</v>
      </c>
      <c r="I154" s="47">
        <v>0</v>
      </c>
      <c r="J154" s="111"/>
      <c r="K154" s="47">
        <v>0</v>
      </c>
      <c r="L154" s="56">
        <f>SUM(F154)</f>
        <v>11425.5</v>
      </c>
      <c r="M154" s="56">
        <f>SUM(G154)</f>
        <v>380</v>
      </c>
      <c r="N154" s="56">
        <f>SUM(H154)</f>
        <v>11805.5</v>
      </c>
      <c r="O154" s="94"/>
      <c r="P154" s="94"/>
    </row>
    <row r="155" spans="1:16" ht="110.25" x14ac:dyDescent="0.2">
      <c r="A155" s="42"/>
      <c r="B155" s="43" t="s">
        <v>453</v>
      </c>
      <c r="C155" s="44" t="s">
        <v>452</v>
      </c>
      <c r="D155" s="45"/>
      <c r="E155" s="105"/>
      <c r="F155" s="56">
        <f>SUM(F156)</f>
        <v>66.400000000000006</v>
      </c>
      <c r="G155" s="56">
        <f>SUM(G156)</f>
        <v>0</v>
      </c>
      <c r="H155" s="56">
        <f>SUM(F155)</f>
        <v>66.400000000000006</v>
      </c>
      <c r="I155" s="47">
        <f>SUM(I156)</f>
        <v>1260</v>
      </c>
      <c r="J155" s="111">
        <f>SUM(J156)</f>
        <v>0</v>
      </c>
      <c r="K155" s="47">
        <f>SUM(I155)</f>
        <v>1260</v>
      </c>
      <c r="L155" s="56">
        <f>SUM(F155+I155)</f>
        <v>1326.4</v>
      </c>
      <c r="M155" s="56">
        <f>SUM(J155)+G155</f>
        <v>0</v>
      </c>
      <c r="N155" s="56">
        <f>SUM(K155)+H155</f>
        <v>1326.4</v>
      </c>
      <c r="O155" s="94"/>
      <c r="P155" s="94"/>
    </row>
    <row r="156" spans="1:16" ht="31.5" x14ac:dyDescent="0.2">
      <c r="A156" s="42"/>
      <c r="B156" s="43" t="s">
        <v>35</v>
      </c>
      <c r="C156" s="44" t="s">
        <v>452</v>
      </c>
      <c r="D156" s="45" t="s">
        <v>36</v>
      </c>
      <c r="E156" s="105"/>
      <c r="F156" s="56">
        <v>66.400000000000006</v>
      </c>
      <c r="G156" s="56"/>
      <c r="H156" s="56">
        <f>SUM(F156)</f>
        <v>66.400000000000006</v>
      </c>
      <c r="I156" s="47">
        <v>1260</v>
      </c>
      <c r="J156" s="111"/>
      <c r="K156" s="47">
        <f>SUM(I156)</f>
        <v>1260</v>
      </c>
      <c r="L156" s="56">
        <f>SUM(F156+I156)</f>
        <v>1326.4</v>
      </c>
      <c r="M156" s="56">
        <f>SUM(J156)+G156</f>
        <v>0</v>
      </c>
      <c r="N156" s="56">
        <f>SUM(K156)+H156</f>
        <v>1326.4</v>
      </c>
      <c r="O156" s="94"/>
      <c r="P156" s="94"/>
    </row>
    <row r="157" spans="1:16" ht="21.6" customHeight="1" x14ac:dyDescent="0.2">
      <c r="A157" s="49"/>
      <c r="B157" s="50" t="s">
        <v>195</v>
      </c>
      <c r="C157" s="51" t="s">
        <v>196</v>
      </c>
      <c r="D157" s="52" t="s">
        <v>26</v>
      </c>
      <c r="E157" s="106"/>
      <c r="F157" s="53">
        <f t="shared" ref="F157:N157" si="33">F158</f>
        <v>7372.5</v>
      </c>
      <c r="G157" s="53">
        <f t="shared" si="33"/>
        <v>0</v>
      </c>
      <c r="H157" s="53">
        <f t="shared" si="33"/>
        <v>7372.5</v>
      </c>
      <c r="I157" s="54">
        <f t="shared" si="33"/>
        <v>0</v>
      </c>
      <c r="J157" s="53">
        <f t="shared" si="33"/>
        <v>0</v>
      </c>
      <c r="K157" s="54">
        <f t="shared" si="33"/>
        <v>0</v>
      </c>
      <c r="L157" s="53">
        <f t="shared" si="33"/>
        <v>7372.5</v>
      </c>
      <c r="M157" s="53">
        <f t="shared" si="33"/>
        <v>0</v>
      </c>
      <c r="N157" s="53">
        <f t="shared" si="33"/>
        <v>7372.5</v>
      </c>
      <c r="O157" s="95"/>
      <c r="P157" s="95"/>
    </row>
    <row r="158" spans="1:16" ht="31.5" x14ac:dyDescent="0.2">
      <c r="A158" s="42"/>
      <c r="B158" s="43" t="s">
        <v>197</v>
      </c>
      <c r="C158" s="44" t="s">
        <v>198</v>
      </c>
      <c r="D158" s="45" t="s">
        <v>26</v>
      </c>
      <c r="E158" s="105"/>
      <c r="F158" s="46">
        <f>F159+F161</f>
        <v>7372.5</v>
      </c>
      <c r="G158" s="46">
        <f>G159+G161</f>
        <v>0</v>
      </c>
      <c r="H158" s="46">
        <f>H159+H161</f>
        <v>7372.5</v>
      </c>
      <c r="I158" s="47">
        <f>I159+I161</f>
        <v>0</v>
      </c>
      <c r="J158" s="88"/>
      <c r="K158" s="47">
        <f>K159+K161</f>
        <v>0</v>
      </c>
      <c r="L158" s="46">
        <f>L159+L161</f>
        <v>7372.5</v>
      </c>
      <c r="M158" s="46">
        <f>M159+M161</f>
        <v>0</v>
      </c>
      <c r="N158" s="46">
        <f>N159+N161</f>
        <v>7372.5</v>
      </c>
      <c r="O158" s="94"/>
      <c r="P158" s="94"/>
    </row>
    <row r="159" spans="1:16" ht="31.9" customHeight="1" x14ac:dyDescent="0.2">
      <c r="A159" s="42"/>
      <c r="B159" s="43" t="s">
        <v>199</v>
      </c>
      <c r="C159" s="44" t="s">
        <v>200</v>
      </c>
      <c r="D159" s="45" t="s">
        <v>26</v>
      </c>
      <c r="E159" s="105"/>
      <c r="F159" s="46">
        <f>F160</f>
        <v>2400</v>
      </c>
      <c r="G159" s="46">
        <f>G160</f>
        <v>0</v>
      </c>
      <c r="H159" s="46">
        <f>H160</f>
        <v>2400</v>
      </c>
      <c r="I159" s="47">
        <f>I160</f>
        <v>0</v>
      </c>
      <c r="J159" s="88"/>
      <c r="K159" s="47">
        <f>K160</f>
        <v>0</v>
      </c>
      <c r="L159" s="46">
        <f>L160</f>
        <v>2400</v>
      </c>
      <c r="M159" s="46">
        <f>M160</f>
        <v>0</v>
      </c>
      <c r="N159" s="46">
        <f>N160</f>
        <v>2400</v>
      </c>
      <c r="O159" s="94"/>
      <c r="P159" s="94"/>
    </row>
    <row r="160" spans="1:16" ht="31.5" x14ac:dyDescent="0.2">
      <c r="A160" s="42"/>
      <c r="B160" s="43" t="s">
        <v>35</v>
      </c>
      <c r="C160" s="44" t="s">
        <v>200</v>
      </c>
      <c r="D160" s="45" t="s">
        <v>36</v>
      </c>
      <c r="E160" s="105"/>
      <c r="F160" s="46">
        <v>2400</v>
      </c>
      <c r="G160" s="46"/>
      <c r="H160" s="46">
        <v>2400</v>
      </c>
      <c r="I160" s="47">
        <v>0</v>
      </c>
      <c r="J160" s="88"/>
      <c r="K160" s="47">
        <v>0</v>
      </c>
      <c r="L160" s="46">
        <v>2400</v>
      </c>
      <c r="M160" s="46"/>
      <c r="N160" s="46">
        <v>2400</v>
      </c>
      <c r="O160" s="94"/>
      <c r="P160" s="94"/>
    </row>
    <row r="161" spans="1:16" ht="31.5" x14ac:dyDescent="0.2">
      <c r="A161" s="42"/>
      <c r="B161" s="43" t="s">
        <v>201</v>
      </c>
      <c r="C161" s="44" t="s">
        <v>202</v>
      </c>
      <c r="D161" s="45" t="s">
        <v>26</v>
      </c>
      <c r="E161" s="105"/>
      <c r="F161" s="46">
        <f>F162</f>
        <v>4972.5</v>
      </c>
      <c r="G161" s="46">
        <f>G162</f>
        <v>0</v>
      </c>
      <c r="H161" s="46">
        <f>H162</f>
        <v>4972.5</v>
      </c>
      <c r="I161" s="47">
        <f>I162</f>
        <v>0</v>
      </c>
      <c r="J161" s="88"/>
      <c r="K161" s="47">
        <f>K162</f>
        <v>0</v>
      </c>
      <c r="L161" s="46">
        <f>L162</f>
        <v>4972.5</v>
      </c>
      <c r="M161" s="46">
        <f>M162</f>
        <v>0</v>
      </c>
      <c r="N161" s="46">
        <f>N162</f>
        <v>4972.5</v>
      </c>
      <c r="O161" s="94"/>
      <c r="P161" s="94"/>
    </row>
    <row r="162" spans="1:16" ht="31.5" x14ac:dyDescent="0.2">
      <c r="A162" s="42"/>
      <c r="B162" s="43" t="s">
        <v>35</v>
      </c>
      <c r="C162" s="44" t="s">
        <v>202</v>
      </c>
      <c r="D162" s="45" t="s">
        <v>36</v>
      </c>
      <c r="E162" s="105"/>
      <c r="F162" s="56">
        <v>4972.5</v>
      </c>
      <c r="G162" s="56"/>
      <c r="H162" s="56">
        <f>SUM(F162)</f>
        <v>4972.5</v>
      </c>
      <c r="I162" s="47">
        <v>0</v>
      </c>
      <c r="J162" s="111"/>
      <c r="K162" s="47">
        <v>0</v>
      </c>
      <c r="L162" s="56">
        <f>SUM(F162)</f>
        <v>4972.5</v>
      </c>
      <c r="M162" s="56">
        <f>SUM(G162)</f>
        <v>0</v>
      </c>
      <c r="N162" s="56">
        <f>SUM(H162)</f>
        <v>4972.5</v>
      </c>
      <c r="O162" s="94"/>
      <c r="P162" s="94"/>
    </row>
    <row r="163" spans="1:16" ht="15.75" x14ac:dyDescent="0.2">
      <c r="A163" s="49"/>
      <c r="B163" s="50" t="s">
        <v>203</v>
      </c>
      <c r="C163" s="51" t="s">
        <v>204</v>
      </c>
      <c r="D163" s="52" t="s">
        <v>26</v>
      </c>
      <c r="E163" s="106"/>
      <c r="F163" s="53">
        <f>F164+F167+F174</f>
        <v>116457.9</v>
      </c>
      <c r="G163" s="53">
        <f>G164+G167+G174</f>
        <v>0</v>
      </c>
      <c r="H163" s="53">
        <f>H164+H167+H174</f>
        <v>116457.9</v>
      </c>
      <c r="I163" s="54">
        <f>I164+I167</f>
        <v>0</v>
      </c>
      <c r="J163" s="53">
        <f>J164+J167</f>
        <v>0</v>
      </c>
      <c r="K163" s="54">
        <f>K164+K167</f>
        <v>0</v>
      </c>
      <c r="L163" s="53">
        <f>L164+L167+L174</f>
        <v>116457.9</v>
      </c>
      <c r="M163" s="53">
        <f>M164+M167+M174</f>
        <v>0</v>
      </c>
      <c r="N163" s="53">
        <f>N164+N167+N174</f>
        <v>116457.9</v>
      </c>
      <c r="O163" s="95"/>
      <c r="P163" s="95"/>
    </row>
    <row r="164" spans="1:16" ht="31.5" x14ac:dyDescent="0.2">
      <c r="A164" s="42"/>
      <c r="B164" s="43" t="s">
        <v>205</v>
      </c>
      <c r="C164" s="44" t="s">
        <v>206</v>
      </c>
      <c r="D164" s="45" t="s">
        <v>26</v>
      </c>
      <c r="E164" s="105"/>
      <c r="F164" s="46">
        <f t="shared" ref="F164:N165" si="34">F165</f>
        <v>7768.7</v>
      </c>
      <c r="G164" s="46">
        <f t="shared" si="34"/>
        <v>0</v>
      </c>
      <c r="H164" s="46">
        <f t="shared" si="34"/>
        <v>7768.7</v>
      </c>
      <c r="I164" s="47">
        <f t="shared" si="34"/>
        <v>0</v>
      </c>
      <c r="J164" s="88"/>
      <c r="K164" s="47">
        <f t="shared" si="34"/>
        <v>0</v>
      </c>
      <c r="L164" s="46">
        <f t="shared" si="34"/>
        <v>7768.7</v>
      </c>
      <c r="M164" s="46">
        <f t="shared" si="34"/>
        <v>0</v>
      </c>
      <c r="N164" s="46">
        <f t="shared" si="34"/>
        <v>7768.7</v>
      </c>
      <c r="O164" s="94"/>
      <c r="P164" s="94"/>
    </row>
    <row r="165" spans="1:16" ht="31.5" x14ac:dyDescent="0.2">
      <c r="A165" s="42"/>
      <c r="B165" s="43" t="s">
        <v>39</v>
      </c>
      <c r="C165" s="44" t="s">
        <v>207</v>
      </c>
      <c r="D165" s="45" t="s">
        <v>26</v>
      </c>
      <c r="E165" s="105"/>
      <c r="F165" s="46">
        <f t="shared" si="34"/>
        <v>7768.7</v>
      </c>
      <c r="G165" s="46">
        <f t="shared" si="34"/>
        <v>0</v>
      </c>
      <c r="H165" s="46">
        <f t="shared" si="34"/>
        <v>7768.7</v>
      </c>
      <c r="I165" s="47">
        <f t="shared" si="34"/>
        <v>0</v>
      </c>
      <c r="J165" s="88"/>
      <c r="K165" s="47">
        <f t="shared" si="34"/>
        <v>0</v>
      </c>
      <c r="L165" s="46">
        <f t="shared" si="34"/>
        <v>7768.7</v>
      </c>
      <c r="M165" s="46">
        <f t="shared" si="34"/>
        <v>0</v>
      </c>
      <c r="N165" s="46">
        <f t="shared" si="34"/>
        <v>7768.7</v>
      </c>
      <c r="O165" s="94"/>
      <c r="P165" s="94"/>
    </row>
    <row r="166" spans="1:16" ht="31.5" x14ac:dyDescent="0.2">
      <c r="A166" s="42"/>
      <c r="B166" s="43" t="s">
        <v>74</v>
      </c>
      <c r="C166" s="44" t="s">
        <v>207</v>
      </c>
      <c r="D166" s="45" t="s">
        <v>75</v>
      </c>
      <c r="E166" s="105"/>
      <c r="F166" s="46">
        <v>7768.7</v>
      </c>
      <c r="G166" s="46"/>
      <c r="H166" s="46">
        <v>7768.7</v>
      </c>
      <c r="I166" s="47">
        <v>0</v>
      </c>
      <c r="J166" s="88"/>
      <c r="K166" s="47">
        <v>0</v>
      </c>
      <c r="L166" s="46">
        <v>7768.7</v>
      </c>
      <c r="M166" s="46"/>
      <c r="N166" s="46">
        <v>7768.7</v>
      </c>
      <c r="O166" s="94"/>
      <c r="P166" s="94"/>
    </row>
    <row r="167" spans="1:16" ht="36" customHeight="1" x14ac:dyDescent="0.2">
      <c r="A167" s="42"/>
      <c r="B167" s="43" t="s">
        <v>208</v>
      </c>
      <c r="C167" s="44" t="s">
        <v>209</v>
      </c>
      <c r="D167" s="45" t="s">
        <v>26</v>
      </c>
      <c r="E167" s="105"/>
      <c r="F167" s="46">
        <f>F168+F170+F172</f>
        <v>97182.3</v>
      </c>
      <c r="G167" s="46">
        <f>SUM(G172)+G168+G170</f>
        <v>0</v>
      </c>
      <c r="H167" s="46">
        <f>H168+H170+H172</f>
        <v>97182.3</v>
      </c>
      <c r="I167" s="47">
        <f t="shared" ref="F167:N168" si="35">I168</f>
        <v>0</v>
      </c>
      <c r="J167" s="88"/>
      <c r="K167" s="47">
        <f t="shared" si="35"/>
        <v>0</v>
      </c>
      <c r="L167" s="46">
        <f>L168+L170+L172</f>
        <v>97182.3</v>
      </c>
      <c r="M167" s="46">
        <f>SUM(M172)+M168+M170</f>
        <v>0</v>
      </c>
      <c r="N167" s="46">
        <f>N168+N170+N172</f>
        <v>97182.3</v>
      </c>
      <c r="O167" s="94"/>
      <c r="P167" s="94"/>
    </row>
    <row r="168" spans="1:16" ht="31.5" x14ac:dyDescent="0.2">
      <c r="A168" s="42"/>
      <c r="B168" s="43" t="s">
        <v>39</v>
      </c>
      <c r="C168" s="44" t="s">
        <v>210</v>
      </c>
      <c r="D168" s="45" t="s">
        <v>26</v>
      </c>
      <c r="E168" s="105"/>
      <c r="F168" s="46">
        <f t="shared" si="35"/>
        <v>94103.3</v>
      </c>
      <c r="G168" s="46">
        <f t="shared" si="35"/>
        <v>0</v>
      </c>
      <c r="H168" s="46">
        <f t="shared" si="35"/>
        <v>94103.3</v>
      </c>
      <c r="I168" s="47">
        <f t="shared" si="35"/>
        <v>0</v>
      </c>
      <c r="J168" s="88"/>
      <c r="K168" s="47">
        <f t="shared" si="35"/>
        <v>0</v>
      </c>
      <c r="L168" s="46">
        <f t="shared" si="35"/>
        <v>94103.3</v>
      </c>
      <c r="M168" s="46">
        <f t="shared" si="35"/>
        <v>0</v>
      </c>
      <c r="N168" s="46">
        <f t="shared" si="35"/>
        <v>94103.3</v>
      </c>
      <c r="O168" s="94"/>
      <c r="P168" s="94"/>
    </row>
    <row r="169" spans="1:16" ht="30.75" customHeight="1" x14ac:dyDescent="0.2">
      <c r="A169" s="42"/>
      <c r="B169" s="43" t="s">
        <v>74</v>
      </c>
      <c r="C169" s="44" t="s">
        <v>210</v>
      </c>
      <c r="D169" s="45" t="s">
        <v>75</v>
      </c>
      <c r="E169" s="105"/>
      <c r="F169" s="46">
        <v>94103.3</v>
      </c>
      <c r="G169" s="46"/>
      <c r="H169" s="46">
        <f>94103.3+G169</f>
        <v>94103.3</v>
      </c>
      <c r="I169" s="47">
        <v>0</v>
      </c>
      <c r="J169" s="88"/>
      <c r="K169" s="47">
        <v>0</v>
      </c>
      <c r="L169" s="46">
        <f>SUM(F168)</f>
        <v>94103.3</v>
      </c>
      <c r="M169" s="46">
        <f>SUM(G169)</f>
        <v>0</v>
      </c>
      <c r="N169" s="46">
        <f>SUM(H169)</f>
        <v>94103.3</v>
      </c>
      <c r="O169" s="94"/>
      <c r="P169" s="94"/>
    </row>
    <row r="170" spans="1:16" ht="31.5" customHeight="1" x14ac:dyDescent="0.2">
      <c r="A170" s="42"/>
      <c r="B170" s="43" t="s">
        <v>211</v>
      </c>
      <c r="C170" s="44" t="s">
        <v>212</v>
      </c>
      <c r="D170" s="45"/>
      <c r="E170" s="105"/>
      <c r="F170" s="46">
        <v>779</v>
      </c>
      <c r="G170" s="46"/>
      <c r="H170" s="46">
        <f>SUM(F170)</f>
        <v>779</v>
      </c>
      <c r="I170" s="47"/>
      <c r="J170" s="88"/>
      <c r="K170" s="47"/>
      <c r="L170" s="46">
        <f>SUM(F171)</f>
        <v>779</v>
      </c>
      <c r="M170" s="46">
        <f>SUM(G170)</f>
        <v>0</v>
      </c>
      <c r="N170" s="46">
        <f>SUM(L170)</f>
        <v>779</v>
      </c>
      <c r="O170" s="94"/>
      <c r="P170" s="94"/>
    </row>
    <row r="171" spans="1:16" ht="33.75" customHeight="1" x14ac:dyDescent="0.2">
      <c r="A171" s="42"/>
      <c r="B171" s="43" t="s">
        <v>74</v>
      </c>
      <c r="C171" s="44" t="s">
        <v>212</v>
      </c>
      <c r="D171" s="45" t="s">
        <v>75</v>
      </c>
      <c r="E171" s="105"/>
      <c r="F171" s="46">
        <v>779</v>
      </c>
      <c r="G171" s="46"/>
      <c r="H171" s="46">
        <f>SUM(F171)</f>
        <v>779</v>
      </c>
      <c r="I171" s="47"/>
      <c r="J171" s="88"/>
      <c r="K171" s="47"/>
      <c r="L171" s="46">
        <f t="shared" ref="L171:N176" si="36">SUM(F171)</f>
        <v>779</v>
      </c>
      <c r="M171" s="46">
        <f>SUM(G171)</f>
        <v>0</v>
      </c>
      <c r="N171" s="46">
        <f>SUM(L171)</f>
        <v>779</v>
      </c>
      <c r="O171" s="94"/>
      <c r="P171" s="94"/>
    </row>
    <row r="172" spans="1:16" ht="31.5" customHeight="1" x14ac:dyDescent="0.2">
      <c r="A172" s="42"/>
      <c r="B172" s="121" t="s">
        <v>78</v>
      </c>
      <c r="C172" s="44" t="s">
        <v>213</v>
      </c>
      <c r="D172" s="45"/>
      <c r="E172" s="105"/>
      <c r="F172" s="46">
        <v>2300</v>
      </c>
      <c r="G172" s="46">
        <f>SUM(G173)</f>
        <v>0</v>
      </c>
      <c r="H172" s="46">
        <f>SUM(H173)</f>
        <v>2300</v>
      </c>
      <c r="I172" s="47"/>
      <c r="J172" s="88"/>
      <c r="K172" s="47"/>
      <c r="L172" s="46">
        <f t="shared" si="36"/>
        <v>2300</v>
      </c>
      <c r="M172" s="46">
        <f t="shared" si="36"/>
        <v>0</v>
      </c>
      <c r="N172" s="46">
        <f t="shared" si="36"/>
        <v>2300</v>
      </c>
      <c r="O172" s="94"/>
      <c r="P172" s="94"/>
    </row>
    <row r="173" spans="1:16" ht="31.5" customHeight="1" x14ac:dyDescent="0.2">
      <c r="A173" s="42"/>
      <c r="B173" s="43" t="s">
        <v>74</v>
      </c>
      <c r="C173" s="44" t="s">
        <v>213</v>
      </c>
      <c r="D173" s="45" t="s">
        <v>75</v>
      </c>
      <c r="E173" s="105"/>
      <c r="F173" s="46">
        <v>2300</v>
      </c>
      <c r="G173" s="46"/>
      <c r="H173" s="46">
        <f>SUM(F173)</f>
        <v>2300</v>
      </c>
      <c r="I173" s="47"/>
      <c r="J173" s="88"/>
      <c r="K173" s="47"/>
      <c r="L173" s="46">
        <f t="shared" si="36"/>
        <v>2300</v>
      </c>
      <c r="M173" s="46">
        <f t="shared" si="36"/>
        <v>0</v>
      </c>
      <c r="N173" s="46">
        <f t="shared" si="36"/>
        <v>2300</v>
      </c>
      <c r="O173" s="94"/>
      <c r="P173" s="94"/>
    </row>
    <row r="174" spans="1:16" ht="49.5" customHeight="1" x14ac:dyDescent="0.2">
      <c r="A174" s="42"/>
      <c r="B174" s="119" t="s">
        <v>214</v>
      </c>
      <c r="C174" s="44" t="s">
        <v>215</v>
      </c>
      <c r="D174" s="45"/>
      <c r="E174" s="105"/>
      <c r="F174" s="46">
        <f>SUM(F175)</f>
        <v>11506.9</v>
      </c>
      <c r="G174" s="46">
        <f>SUM(G175)</f>
        <v>0</v>
      </c>
      <c r="H174" s="46">
        <f>SUM(F174)+G174</f>
        <v>11506.9</v>
      </c>
      <c r="I174" s="47"/>
      <c r="J174" s="88"/>
      <c r="K174" s="47"/>
      <c r="L174" s="46">
        <f t="shared" si="36"/>
        <v>11506.9</v>
      </c>
      <c r="M174" s="46">
        <f t="shared" si="36"/>
        <v>0</v>
      </c>
      <c r="N174" s="46">
        <f t="shared" si="36"/>
        <v>11506.9</v>
      </c>
      <c r="O174" s="94"/>
      <c r="P174" s="94"/>
    </row>
    <row r="175" spans="1:16" ht="63" x14ac:dyDescent="0.2">
      <c r="A175" s="42"/>
      <c r="B175" s="120" t="s">
        <v>216</v>
      </c>
      <c r="C175" s="44" t="s">
        <v>217</v>
      </c>
      <c r="D175" s="45"/>
      <c r="E175" s="105"/>
      <c r="F175" s="46">
        <v>11506.9</v>
      </c>
      <c r="G175" s="46">
        <f>SUM(G176)</f>
        <v>0</v>
      </c>
      <c r="H175" s="46">
        <f>SUM(F175)+G175</f>
        <v>11506.9</v>
      </c>
      <c r="I175" s="47"/>
      <c r="J175" s="88"/>
      <c r="K175" s="47"/>
      <c r="L175" s="46">
        <f t="shared" si="36"/>
        <v>11506.9</v>
      </c>
      <c r="M175" s="46">
        <f t="shared" si="36"/>
        <v>0</v>
      </c>
      <c r="N175" s="46">
        <f t="shared" si="36"/>
        <v>11506.9</v>
      </c>
      <c r="O175" s="94"/>
      <c r="P175" s="94"/>
    </row>
    <row r="176" spans="1:16" ht="31.5" x14ac:dyDescent="0.2">
      <c r="A176" s="42"/>
      <c r="B176" s="43" t="s">
        <v>74</v>
      </c>
      <c r="C176" s="44" t="s">
        <v>217</v>
      </c>
      <c r="D176" s="45" t="s">
        <v>42</v>
      </c>
      <c r="E176" s="105"/>
      <c r="F176" s="46">
        <v>11506.9</v>
      </c>
      <c r="G176" s="46"/>
      <c r="H176" s="46">
        <f>SUM(F176)+G176</f>
        <v>11506.9</v>
      </c>
      <c r="I176" s="47"/>
      <c r="J176" s="88"/>
      <c r="K176" s="47"/>
      <c r="L176" s="46">
        <f t="shared" si="36"/>
        <v>11506.9</v>
      </c>
      <c r="M176" s="46">
        <f t="shared" si="36"/>
        <v>0</v>
      </c>
      <c r="N176" s="46">
        <f t="shared" si="36"/>
        <v>11506.9</v>
      </c>
      <c r="O176" s="94"/>
      <c r="P176" s="94"/>
    </row>
    <row r="177" spans="1:17" ht="29.25" customHeight="1" x14ac:dyDescent="0.2">
      <c r="A177" s="19" t="s">
        <v>218</v>
      </c>
      <c r="B177" s="20" t="s">
        <v>219</v>
      </c>
      <c r="C177" s="21" t="s">
        <v>220</v>
      </c>
      <c r="D177" s="22" t="s">
        <v>26</v>
      </c>
      <c r="E177" s="104"/>
      <c r="F177" s="23">
        <f>F188+F193+F202+F206+F182</f>
        <v>8429.4000000000015</v>
      </c>
      <c r="G177" s="46">
        <f>SUM(G183)+G202+G193</f>
        <v>600</v>
      </c>
      <c r="H177" s="23">
        <f>H188+H193+H202+H206+H182+H178</f>
        <v>9029.4000000000015</v>
      </c>
      <c r="I177" s="24">
        <f>I188+I193+I202+I206+I182</f>
        <v>12562.4</v>
      </c>
      <c r="J177" s="23">
        <f>J188+J193+J202+J206+J182</f>
        <v>0</v>
      </c>
      <c r="K177" s="24">
        <f>K188+K193+K202+K206+K182</f>
        <v>12562.4</v>
      </c>
      <c r="L177" s="23">
        <f>SUM(F177+I177)</f>
        <v>20991.800000000003</v>
      </c>
      <c r="M177" s="23">
        <f>SUM(G177+J177)</f>
        <v>600</v>
      </c>
      <c r="N177" s="23">
        <f>SUM(H177+K177)</f>
        <v>21591.800000000003</v>
      </c>
      <c r="O177" s="93"/>
      <c r="P177" s="93"/>
      <c r="Q177" s="25"/>
    </row>
    <row r="178" spans="1:17" ht="15.75" hidden="1" x14ac:dyDescent="0.2">
      <c r="A178" s="19"/>
      <c r="B178" s="50" t="s">
        <v>177</v>
      </c>
      <c r="C178" s="44"/>
      <c r="D178" s="22"/>
      <c r="E178" s="104"/>
      <c r="F178" s="23"/>
      <c r="G178" s="46"/>
      <c r="H178" s="23">
        <f>SUM(G178)</f>
        <v>0</v>
      </c>
      <c r="I178" s="24"/>
      <c r="J178" s="46">
        <f>SUM(J179)</f>
        <v>0</v>
      </c>
      <c r="K178" s="24">
        <f t="shared" ref="K178:K185" si="37">SUM(J178)</f>
        <v>0</v>
      </c>
      <c r="L178" s="23"/>
      <c r="M178" s="23">
        <f>SUM(G178+J178)</f>
        <v>0</v>
      </c>
      <c r="N178" s="23">
        <f>SUM(H178+K178)</f>
        <v>0</v>
      </c>
      <c r="O178" s="93"/>
      <c r="P178" s="93"/>
      <c r="Q178" s="25"/>
    </row>
    <row r="179" spans="1:17" ht="47.25" hidden="1" x14ac:dyDescent="0.2">
      <c r="A179" s="19"/>
      <c r="B179" s="43" t="s">
        <v>179</v>
      </c>
      <c r="C179" s="44" t="s">
        <v>451</v>
      </c>
      <c r="D179" s="22" t="s">
        <v>26</v>
      </c>
      <c r="E179" s="104"/>
      <c r="F179" s="23"/>
      <c r="G179" s="46"/>
      <c r="H179" s="23">
        <f>SUM(G179)</f>
        <v>0</v>
      </c>
      <c r="I179" s="24"/>
      <c r="J179" s="46">
        <f>SUM(J180)</f>
        <v>0</v>
      </c>
      <c r="K179" s="24">
        <f t="shared" si="37"/>
        <v>0</v>
      </c>
      <c r="L179" s="23"/>
      <c r="M179" s="23">
        <f>SUM(J179)+G179</f>
        <v>0</v>
      </c>
      <c r="N179" s="23">
        <f>SUM(M179)</f>
        <v>0</v>
      </c>
      <c r="O179" s="93"/>
      <c r="P179" s="93"/>
      <c r="Q179" s="25"/>
    </row>
    <row r="180" spans="1:17" ht="31.5" hidden="1" x14ac:dyDescent="0.2">
      <c r="A180" s="19"/>
      <c r="B180" s="43" t="s">
        <v>193</v>
      </c>
      <c r="C180" s="44" t="s">
        <v>451</v>
      </c>
      <c r="D180" s="22"/>
      <c r="E180" s="104"/>
      <c r="F180" s="44"/>
      <c r="G180" s="46"/>
      <c r="H180" s="23">
        <f>SUM(G180)</f>
        <v>0</v>
      </c>
      <c r="I180" s="24"/>
      <c r="J180" s="46">
        <f>SUM(J181)</f>
        <v>0</v>
      </c>
      <c r="K180" s="24">
        <f t="shared" si="37"/>
        <v>0</v>
      </c>
      <c r="L180" s="23"/>
      <c r="M180" s="23">
        <f>SUM(J180)+G180</f>
        <v>0</v>
      </c>
      <c r="N180" s="23">
        <f>SUM(M180)</f>
        <v>0</v>
      </c>
      <c r="O180" s="93"/>
      <c r="P180" s="93"/>
      <c r="Q180" s="25"/>
    </row>
    <row r="181" spans="1:17" ht="31.5" hidden="1" x14ac:dyDescent="0.2">
      <c r="A181" s="19"/>
      <c r="B181" s="43" t="s">
        <v>35</v>
      </c>
      <c r="C181" s="44" t="s">
        <v>451</v>
      </c>
      <c r="D181" s="45" t="s">
        <v>36</v>
      </c>
      <c r="E181" s="104"/>
      <c r="F181" s="23"/>
      <c r="G181" s="46"/>
      <c r="H181" s="23">
        <f>SUM(G181)</f>
        <v>0</v>
      </c>
      <c r="I181" s="24"/>
      <c r="J181" s="46"/>
      <c r="K181" s="24">
        <f t="shared" si="37"/>
        <v>0</v>
      </c>
      <c r="L181" s="23"/>
      <c r="M181" s="23">
        <f>SUM(J181)+G181</f>
        <v>0</v>
      </c>
      <c r="N181" s="23">
        <f>SUM(M181)</f>
        <v>0</v>
      </c>
      <c r="O181" s="93"/>
      <c r="P181" s="93"/>
      <c r="Q181" s="25"/>
    </row>
    <row r="182" spans="1:17" ht="15.75" x14ac:dyDescent="0.2">
      <c r="A182" s="19"/>
      <c r="B182" s="50" t="s">
        <v>221</v>
      </c>
      <c r="C182" s="51" t="s">
        <v>222</v>
      </c>
      <c r="D182" s="52"/>
      <c r="E182" s="106"/>
      <c r="F182" s="46">
        <f>F183</f>
        <v>3478.2</v>
      </c>
      <c r="G182" s="46">
        <f>SUM(G183)</f>
        <v>0</v>
      </c>
      <c r="H182" s="46">
        <f>SUM(F182)+G182</f>
        <v>3478.2</v>
      </c>
      <c r="I182" s="46">
        <f>SUM(I183)</f>
        <v>3300</v>
      </c>
      <c r="J182" s="46">
        <f>SUM(J183)</f>
        <v>0</v>
      </c>
      <c r="K182" s="46">
        <f>SUM(K183)</f>
        <v>3300</v>
      </c>
      <c r="L182" s="46">
        <f>SUM(F182)+I182</f>
        <v>6778.2</v>
      </c>
      <c r="M182" s="53">
        <f>SUM(M183)</f>
        <v>0</v>
      </c>
      <c r="N182" s="46">
        <f>SUM(L182+M182)</f>
        <v>6778.2</v>
      </c>
      <c r="O182" s="95"/>
      <c r="P182" s="95"/>
      <c r="Q182" s="25"/>
    </row>
    <row r="183" spans="1:17" ht="19.149999999999999" customHeight="1" x14ac:dyDescent="0.2">
      <c r="A183" s="19"/>
      <c r="B183" s="43" t="s">
        <v>223</v>
      </c>
      <c r="C183" s="44" t="s">
        <v>224</v>
      </c>
      <c r="D183" s="45"/>
      <c r="E183" s="105"/>
      <c r="F183" s="46">
        <f>1914.2+F186</f>
        <v>3478.2</v>
      </c>
      <c r="G183" s="46">
        <f>SUM(G184)+G186</f>
        <v>0</v>
      </c>
      <c r="H183" s="46">
        <f>SUM(F183)+G183</f>
        <v>3478.2</v>
      </c>
      <c r="I183" s="46">
        <f>SUM(I184)+I186</f>
        <v>3300</v>
      </c>
      <c r="J183" s="46"/>
      <c r="K183" s="46">
        <f>SUM(K184)+K186</f>
        <v>3300</v>
      </c>
      <c r="L183" s="46">
        <f>SUM(F183)+I183</f>
        <v>6778.2</v>
      </c>
      <c r="M183" s="46">
        <f>SUM(G183+J183)</f>
        <v>0</v>
      </c>
      <c r="N183" s="46">
        <f>SUM(L183+M183)</f>
        <v>6778.2</v>
      </c>
      <c r="O183" s="94"/>
      <c r="P183" s="94"/>
      <c r="Q183" s="25"/>
    </row>
    <row r="184" spans="1:17" ht="15.75" x14ac:dyDescent="0.2">
      <c r="A184" s="19"/>
      <c r="B184" s="43" t="s">
        <v>67</v>
      </c>
      <c r="C184" s="44" t="s">
        <v>225</v>
      </c>
      <c r="D184" s="45"/>
      <c r="E184" s="105"/>
      <c r="F184" s="46">
        <v>1914.2</v>
      </c>
      <c r="G184" s="46">
        <f>SUM(G185)</f>
        <v>0</v>
      </c>
      <c r="H184" s="46">
        <f>SUM(F184)+G184</f>
        <v>1914.2</v>
      </c>
      <c r="I184" s="47"/>
      <c r="J184" s="46">
        <f>SUM(J185)</f>
        <v>0</v>
      </c>
      <c r="K184" s="47">
        <f t="shared" si="37"/>
        <v>0</v>
      </c>
      <c r="L184" s="46">
        <f>SUM(F184)</f>
        <v>1914.2</v>
      </c>
      <c r="M184" s="46">
        <f>SUM(M185)</f>
        <v>0</v>
      </c>
      <c r="N184" s="46">
        <f>SUM(L184+M184)</f>
        <v>1914.2</v>
      </c>
      <c r="O184" s="94"/>
      <c r="P184" s="94"/>
      <c r="Q184" s="25"/>
    </row>
    <row r="185" spans="1:17" ht="31.5" x14ac:dyDescent="0.2">
      <c r="A185" s="19"/>
      <c r="B185" s="43" t="s">
        <v>35</v>
      </c>
      <c r="C185" s="44" t="s">
        <v>225</v>
      </c>
      <c r="D185" s="45" t="s">
        <v>36</v>
      </c>
      <c r="E185" s="105"/>
      <c r="F185" s="46">
        <v>1914.2</v>
      </c>
      <c r="G185" s="46"/>
      <c r="H185" s="46">
        <f>SUM(F185)+G185</f>
        <v>1914.2</v>
      </c>
      <c r="I185" s="47"/>
      <c r="J185" s="88"/>
      <c r="K185" s="47">
        <f t="shared" si="37"/>
        <v>0</v>
      </c>
      <c r="L185" s="46">
        <f>SUM(F185)</f>
        <v>1914.2</v>
      </c>
      <c r="M185" s="46">
        <f>SUM(G185)+J185</f>
        <v>0</v>
      </c>
      <c r="N185" s="46">
        <f>SUM(H185+K185)</f>
        <v>1914.2</v>
      </c>
      <c r="O185" s="94"/>
      <c r="P185" s="94"/>
      <c r="Q185" s="25"/>
    </row>
    <row r="186" spans="1:17" ht="31.5" x14ac:dyDescent="0.2">
      <c r="A186" s="19"/>
      <c r="B186" s="43" t="s">
        <v>193</v>
      </c>
      <c r="C186" s="44" t="s">
        <v>451</v>
      </c>
      <c r="D186" s="45"/>
      <c r="E186" s="105"/>
      <c r="F186" s="46">
        <v>1564</v>
      </c>
      <c r="G186" s="46"/>
      <c r="H186" s="46">
        <f>SUM(F186)</f>
        <v>1564</v>
      </c>
      <c r="I186" s="47">
        <v>3300</v>
      </c>
      <c r="J186" s="88"/>
      <c r="K186" s="47">
        <f>SUM(I186)</f>
        <v>3300</v>
      </c>
      <c r="L186" s="46">
        <f>SUM(F186+I186)</f>
        <v>4864</v>
      </c>
      <c r="M186" s="46">
        <f>SUM(G186)+J186</f>
        <v>0</v>
      </c>
      <c r="N186" s="46">
        <f>SUM(H186)+K186</f>
        <v>4864</v>
      </c>
      <c r="O186" s="94"/>
      <c r="P186" s="94"/>
      <c r="Q186" s="25"/>
    </row>
    <row r="187" spans="1:17" ht="31.5" x14ac:dyDescent="0.2">
      <c r="A187" s="19"/>
      <c r="B187" s="43" t="s">
        <v>35</v>
      </c>
      <c r="C187" s="44" t="s">
        <v>451</v>
      </c>
      <c r="D187" s="45" t="s">
        <v>36</v>
      </c>
      <c r="E187" s="105"/>
      <c r="F187" s="46">
        <v>1564</v>
      </c>
      <c r="G187" s="46"/>
      <c r="H187" s="46">
        <f>SUM(F187)</f>
        <v>1564</v>
      </c>
      <c r="I187" s="47">
        <v>3300</v>
      </c>
      <c r="J187" s="88"/>
      <c r="K187" s="47">
        <f>SUM(I187)</f>
        <v>3300</v>
      </c>
      <c r="L187" s="46">
        <f>SUM(F187+I187)</f>
        <v>4864</v>
      </c>
      <c r="M187" s="46">
        <f>SUM(G187)+J187</f>
        <v>0</v>
      </c>
      <c r="N187" s="46">
        <f>SUM(H187)+K187</f>
        <v>4864</v>
      </c>
      <c r="O187" s="94"/>
      <c r="P187" s="94"/>
      <c r="Q187" s="25"/>
    </row>
    <row r="188" spans="1:17" ht="31.5" x14ac:dyDescent="0.2">
      <c r="A188" s="49"/>
      <c r="B188" s="72" t="s">
        <v>226</v>
      </c>
      <c r="C188" s="73" t="s">
        <v>227</v>
      </c>
      <c r="D188" s="74" t="s">
        <v>26</v>
      </c>
      <c r="E188" s="107"/>
      <c r="F188" s="75">
        <f t="shared" ref="F188:N189" si="38">F189</f>
        <v>330</v>
      </c>
      <c r="G188" s="75">
        <f t="shared" si="38"/>
        <v>0</v>
      </c>
      <c r="H188" s="75">
        <f t="shared" si="38"/>
        <v>330</v>
      </c>
      <c r="I188" s="76">
        <f t="shared" si="38"/>
        <v>0</v>
      </c>
      <c r="J188" s="112"/>
      <c r="K188" s="76">
        <f t="shared" si="38"/>
        <v>0</v>
      </c>
      <c r="L188" s="75">
        <f t="shared" si="38"/>
        <v>330</v>
      </c>
      <c r="M188" s="75">
        <f t="shared" si="38"/>
        <v>0</v>
      </c>
      <c r="N188" s="75">
        <f t="shared" si="38"/>
        <v>330</v>
      </c>
      <c r="O188" s="96"/>
      <c r="P188" s="96"/>
    </row>
    <row r="189" spans="1:17" ht="31.5" x14ac:dyDescent="0.2">
      <c r="A189" s="42"/>
      <c r="B189" s="43" t="s">
        <v>228</v>
      </c>
      <c r="C189" s="44" t="s">
        <v>229</v>
      </c>
      <c r="D189" s="45" t="s">
        <v>26</v>
      </c>
      <c r="E189" s="105"/>
      <c r="F189" s="46">
        <f t="shared" si="38"/>
        <v>330</v>
      </c>
      <c r="G189" s="46">
        <f t="shared" si="38"/>
        <v>0</v>
      </c>
      <c r="H189" s="46">
        <f t="shared" si="38"/>
        <v>330</v>
      </c>
      <c r="I189" s="47">
        <f t="shared" si="38"/>
        <v>0</v>
      </c>
      <c r="J189" s="88"/>
      <c r="K189" s="47">
        <f t="shared" si="38"/>
        <v>0</v>
      </c>
      <c r="L189" s="46">
        <f t="shared" si="38"/>
        <v>330</v>
      </c>
      <c r="M189" s="46">
        <f t="shared" si="38"/>
        <v>0</v>
      </c>
      <c r="N189" s="46">
        <f t="shared" si="38"/>
        <v>330</v>
      </c>
      <c r="O189" s="94"/>
      <c r="P189" s="94"/>
    </row>
    <row r="190" spans="1:17" ht="31.5" x14ac:dyDescent="0.2">
      <c r="A190" s="42"/>
      <c r="B190" s="43" t="s">
        <v>226</v>
      </c>
      <c r="C190" s="44" t="s">
        <v>230</v>
      </c>
      <c r="D190" s="45" t="s">
        <v>26</v>
      </c>
      <c r="E190" s="105"/>
      <c r="F190" s="46">
        <f>F192+F191</f>
        <v>330</v>
      </c>
      <c r="G190" s="46">
        <f>G192+G191</f>
        <v>0</v>
      </c>
      <c r="H190" s="46">
        <f>H192+H191</f>
        <v>330</v>
      </c>
      <c r="I190" s="47">
        <f>I192+I191</f>
        <v>0</v>
      </c>
      <c r="J190" s="88"/>
      <c r="K190" s="47">
        <f>K192+K191</f>
        <v>0</v>
      </c>
      <c r="L190" s="46">
        <f>L192+L191</f>
        <v>330</v>
      </c>
      <c r="M190" s="46">
        <f>M192+M191</f>
        <v>0</v>
      </c>
      <c r="N190" s="46">
        <f>N192+N191</f>
        <v>330</v>
      </c>
      <c r="O190" s="97"/>
      <c r="P190" s="97"/>
    </row>
    <row r="191" spans="1:17" ht="31.5" x14ac:dyDescent="0.2">
      <c r="A191" s="42"/>
      <c r="B191" s="43" t="s">
        <v>35</v>
      </c>
      <c r="C191" s="44" t="s">
        <v>230</v>
      </c>
      <c r="D191" s="45" t="s">
        <v>36</v>
      </c>
      <c r="E191" s="105"/>
      <c r="F191" s="46">
        <v>200</v>
      </c>
      <c r="G191" s="46"/>
      <c r="H191" s="46">
        <v>200</v>
      </c>
      <c r="I191" s="47">
        <v>0</v>
      </c>
      <c r="J191" s="88"/>
      <c r="K191" s="47">
        <v>0</v>
      </c>
      <c r="L191" s="46">
        <v>200</v>
      </c>
      <c r="M191" s="46"/>
      <c r="N191" s="46">
        <v>200</v>
      </c>
      <c r="O191" s="94"/>
      <c r="P191" s="94"/>
    </row>
    <row r="192" spans="1:17" ht="15.75" x14ac:dyDescent="0.2">
      <c r="A192" s="42"/>
      <c r="B192" s="43" t="s">
        <v>41</v>
      </c>
      <c r="C192" s="44" t="s">
        <v>230</v>
      </c>
      <c r="D192" s="45" t="s">
        <v>42</v>
      </c>
      <c r="E192" s="105"/>
      <c r="F192" s="46">
        <v>130</v>
      </c>
      <c r="G192" s="46"/>
      <c r="H192" s="46">
        <v>130</v>
      </c>
      <c r="I192" s="47">
        <v>0</v>
      </c>
      <c r="J192" s="88"/>
      <c r="K192" s="47">
        <v>0</v>
      </c>
      <c r="L192" s="46">
        <v>130</v>
      </c>
      <c r="M192" s="46"/>
      <c r="N192" s="46">
        <v>130</v>
      </c>
      <c r="O192" s="94"/>
      <c r="P192" s="94"/>
    </row>
    <row r="193" spans="1:16" ht="22.15" customHeight="1" x14ac:dyDescent="0.2">
      <c r="A193" s="49"/>
      <c r="B193" s="50" t="s">
        <v>231</v>
      </c>
      <c r="C193" s="51" t="s">
        <v>232</v>
      </c>
      <c r="D193" s="52" t="s">
        <v>26</v>
      </c>
      <c r="E193" s="106"/>
      <c r="F193" s="53">
        <f t="shared" ref="F193:N194" si="39">F194</f>
        <v>3933.6</v>
      </c>
      <c r="G193" s="53">
        <f t="shared" si="39"/>
        <v>0</v>
      </c>
      <c r="H193" s="53">
        <f t="shared" si="39"/>
        <v>3933.6</v>
      </c>
      <c r="I193" s="54">
        <f t="shared" si="39"/>
        <v>0</v>
      </c>
      <c r="J193" s="53">
        <f t="shared" si="39"/>
        <v>0</v>
      </c>
      <c r="K193" s="54">
        <f t="shared" si="39"/>
        <v>0</v>
      </c>
      <c r="L193" s="53">
        <f t="shared" si="39"/>
        <v>3933.6</v>
      </c>
      <c r="M193" s="53">
        <f t="shared" si="39"/>
        <v>0</v>
      </c>
      <c r="N193" s="53">
        <f t="shared" si="39"/>
        <v>3933.6</v>
      </c>
      <c r="O193" s="95"/>
      <c r="P193" s="95"/>
    </row>
    <row r="194" spans="1:16" ht="34.9" customHeight="1" x14ac:dyDescent="0.2">
      <c r="A194" s="42"/>
      <c r="B194" s="43" t="s">
        <v>233</v>
      </c>
      <c r="C194" s="44" t="s">
        <v>234</v>
      </c>
      <c r="D194" s="45" t="s">
        <v>26</v>
      </c>
      <c r="E194" s="105"/>
      <c r="F194" s="46">
        <f t="shared" si="39"/>
        <v>3933.6</v>
      </c>
      <c r="G194" s="46">
        <f>G195+G200</f>
        <v>0</v>
      </c>
      <c r="H194" s="46">
        <f>H195+G194</f>
        <v>3933.6</v>
      </c>
      <c r="I194" s="47">
        <f t="shared" si="39"/>
        <v>0</v>
      </c>
      <c r="J194" s="88"/>
      <c r="K194" s="47">
        <f t="shared" si="39"/>
        <v>0</v>
      </c>
      <c r="L194" s="46">
        <f t="shared" si="39"/>
        <v>3933.6</v>
      </c>
      <c r="M194" s="46">
        <f>SUM(G194)</f>
        <v>0</v>
      </c>
      <c r="N194" s="46">
        <f>N195+M194</f>
        <v>3933.6</v>
      </c>
      <c r="O194" s="94"/>
      <c r="P194" s="94"/>
    </row>
    <row r="195" spans="1:16" ht="31.5" x14ac:dyDescent="0.2">
      <c r="A195" s="42"/>
      <c r="B195" s="43" t="s">
        <v>39</v>
      </c>
      <c r="C195" s="44" t="s">
        <v>235</v>
      </c>
      <c r="D195" s="45" t="s">
        <v>26</v>
      </c>
      <c r="E195" s="105"/>
      <c r="F195" s="46">
        <f>F196+F197</f>
        <v>3933.6</v>
      </c>
      <c r="G195" s="46">
        <f>G196+G197</f>
        <v>0</v>
      </c>
      <c r="H195" s="46">
        <f>H196+H197</f>
        <v>3933.6</v>
      </c>
      <c r="I195" s="47">
        <f>I196+I197</f>
        <v>0</v>
      </c>
      <c r="J195" s="88"/>
      <c r="K195" s="47">
        <f>K196+K197</f>
        <v>0</v>
      </c>
      <c r="L195" s="46">
        <f>L196+L197</f>
        <v>3933.6</v>
      </c>
      <c r="M195" s="46">
        <f>M196+M197</f>
        <v>0</v>
      </c>
      <c r="N195" s="46">
        <f>N196+N197</f>
        <v>3933.6</v>
      </c>
      <c r="O195" s="94"/>
      <c r="P195" s="94"/>
    </row>
    <row r="196" spans="1:16" ht="66" customHeight="1" x14ac:dyDescent="0.2">
      <c r="A196" s="42"/>
      <c r="B196" s="43" t="s">
        <v>31</v>
      </c>
      <c r="C196" s="44" t="s">
        <v>235</v>
      </c>
      <c r="D196" s="45" t="s">
        <v>32</v>
      </c>
      <c r="E196" s="105"/>
      <c r="F196" s="46">
        <v>3788.1</v>
      </c>
      <c r="G196" s="46"/>
      <c r="H196" s="46">
        <v>3788.1</v>
      </c>
      <c r="I196" s="47">
        <v>0</v>
      </c>
      <c r="J196" s="88"/>
      <c r="K196" s="47">
        <v>0</v>
      </c>
      <c r="L196" s="46">
        <v>3788.1</v>
      </c>
      <c r="M196" s="46"/>
      <c r="N196" s="46">
        <v>3788.1</v>
      </c>
      <c r="O196" s="94"/>
      <c r="P196" s="94"/>
    </row>
    <row r="197" spans="1:16" ht="30.75" customHeight="1" x14ac:dyDescent="0.2">
      <c r="A197" s="42"/>
      <c r="B197" s="43" t="s">
        <v>35</v>
      </c>
      <c r="C197" s="44" t="s">
        <v>235</v>
      </c>
      <c r="D197" s="45" t="s">
        <v>36</v>
      </c>
      <c r="E197" s="105"/>
      <c r="F197" s="46">
        <v>145.5</v>
      </c>
      <c r="G197" s="46"/>
      <c r="H197" s="46">
        <v>145.5</v>
      </c>
      <c r="I197" s="47">
        <v>0</v>
      </c>
      <c r="J197" s="88"/>
      <c r="K197" s="47">
        <v>0</v>
      </c>
      <c r="L197" s="46">
        <v>145.5</v>
      </c>
      <c r="M197" s="46"/>
      <c r="N197" s="46">
        <v>145.5</v>
      </c>
      <c r="O197" s="94"/>
      <c r="P197" s="94"/>
    </row>
    <row r="198" spans="1:16" ht="15.75" hidden="1" x14ac:dyDescent="0.2">
      <c r="A198" s="42"/>
      <c r="B198" s="43"/>
      <c r="C198" s="44"/>
      <c r="D198" s="45"/>
      <c r="E198" s="105"/>
      <c r="F198" s="46"/>
      <c r="G198" s="46"/>
      <c r="H198" s="46"/>
      <c r="I198" s="47"/>
      <c r="J198" s="88"/>
      <c r="K198" s="47"/>
      <c r="L198" s="46"/>
      <c r="M198" s="46"/>
      <c r="N198" s="46"/>
      <c r="O198" s="94"/>
      <c r="P198" s="94"/>
    </row>
    <row r="199" spans="1:16" ht="15.75" hidden="1" x14ac:dyDescent="0.2">
      <c r="A199" s="42"/>
      <c r="B199" s="43"/>
      <c r="C199" s="44" t="s">
        <v>457</v>
      </c>
      <c r="D199" s="45"/>
      <c r="E199" s="105"/>
      <c r="F199" s="46"/>
      <c r="G199" s="46"/>
      <c r="H199" s="46"/>
      <c r="I199" s="47"/>
      <c r="J199" s="88"/>
      <c r="K199" s="47"/>
      <c r="L199" s="46"/>
      <c r="M199" s="46"/>
      <c r="N199" s="46"/>
      <c r="O199" s="94"/>
      <c r="P199" s="94"/>
    </row>
    <row r="200" spans="1:16" ht="47.25" x14ac:dyDescent="0.2">
      <c r="A200" s="42"/>
      <c r="B200" s="43" t="s">
        <v>458</v>
      </c>
      <c r="C200" s="44" t="s">
        <v>457</v>
      </c>
      <c r="D200" s="45"/>
      <c r="E200" s="105"/>
      <c r="F200" s="46"/>
      <c r="G200" s="46">
        <f>SUM(G201)</f>
        <v>0</v>
      </c>
      <c r="H200" s="46"/>
      <c r="I200" s="47"/>
      <c r="J200" s="88"/>
      <c r="K200" s="47"/>
      <c r="L200" s="46"/>
      <c r="M200" s="46">
        <f>SUM(G200)</f>
        <v>0</v>
      </c>
      <c r="N200" s="46">
        <f>SUM(H200)</f>
        <v>0</v>
      </c>
      <c r="O200" s="94"/>
      <c r="P200" s="94"/>
    </row>
    <row r="201" spans="1:16" ht="15.75" x14ac:dyDescent="0.2">
      <c r="A201" s="42"/>
      <c r="B201" s="43" t="s">
        <v>278</v>
      </c>
      <c r="C201" s="44" t="s">
        <v>457</v>
      </c>
      <c r="D201" s="45" t="s">
        <v>279</v>
      </c>
      <c r="E201" s="105"/>
      <c r="F201" s="46"/>
      <c r="G201" s="46"/>
      <c r="H201" s="46">
        <f>SUM(G201)</f>
        <v>0</v>
      </c>
      <c r="I201" s="47"/>
      <c r="J201" s="88"/>
      <c r="K201" s="47"/>
      <c r="L201" s="46"/>
      <c r="M201" s="46">
        <f>SUM(G201)</f>
        <v>0</v>
      </c>
      <c r="N201" s="46">
        <f>SUM(H201)</f>
        <v>0</v>
      </c>
      <c r="O201" s="94"/>
      <c r="P201" s="94"/>
    </row>
    <row r="202" spans="1:16" ht="48.6" customHeight="1" x14ac:dyDescent="0.2">
      <c r="A202" s="49"/>
      <c r="B202" s="50" t="s">
        <v>236</v>
      </c>
      <c r="C202" s="51" t="s">
        <v>237</v>
      </c>
      <c r="D202" s="52" t="s">
        <v>26</v>
      </c>
      <c r="E202" s="106"/>
      <c r="F202" s="53">
        <f t="shared" ref="F202:N204" si="40">F203</f>
        <v>200</v>
      </c>
      <c r="G202" s="53">
        <f t="shared" si="40"/>
        <v>600</v>
      </c>
      <c r="H202" s="53">
        <f t="shared" si="40"/>
        <v>800</v>
      </c>
      <c r="I202" s="54">
        <f t="shared" si="40"/>
        <v>0</v>
      </c>
      <c r="J202" s="53">
        <f>J203</f>
        <v>0</v>
      </c>
      <c r="K202" s="54">
        <f t="shared" si="40"/>
        <v>0</v>
      </c>
      <c r="L202" s="53">
        <f t="shared" si="40"/>
        <v>200</v>
      </c>
      <c r="M202" s="53">
        <f t="shared" si="40"/>
        <v>600</v>
      </c>
      <c r="N202" s="53">
        <f t="shared" si="40"/>
        <v>800</v>
      </c>
      <c r="O202" s="95"/>
      <c r="P202" s="95"/>
    </row>
    <row r="203" spans="1:16" ht="33.6" customHeight="1" x14ac:dyDescent="0.2">
      <c r="A203" s="42"/>
      <c r="B203" s="43" t="s">
        <v>238</v>
      </c>
      <c r="C203" s="44" t="s">
        <v>239</v>
      </c>
      <c r="D203" s="45" t="s">
        <v>26</v>
      </c>
      <c r="E203" s="105"/>
      <c r="F203" s="46">
        <f t="shared" si="40"/>
        <v>200</v>
      </c>
      <c r="G203" s="46">
        <f t="shared" si="40"/>
        <v>600</v>
      </c>
      <c r="H203" s="46">
        <f t="shared" si="40"/>
        <v>800</v>
      </c>
      <c r="I203" s="47">
        <f t="shared" si="40"/>
        <v>0</v>
      </c>
      <c r="J203" s="88"/>
      <c r="K203" s="47">
        <f t="shared" si="40"/>
        <v>0</v>
      </c>
      <c r="L203" s="46">
        <f t="shared" si="40"/>
        <v>200</v>
      </c>
      <c r="M203" s="46">
        <f t="shared" si="40"/>
        <v>600</v>
      </c>
      <c r="N203" s="46">
        <f t="shared" si="40"/>
        <v>800</v>
      </c>
      <c r="O203" s="94"/>
      <c r="P203" s="94"/>
    </row>
    <row r="204" spans="1:16" ht="15.75" x14ac:dyDescent="0.2">
      <c r="A204" s="42"/>
      <c r="B204" s="43" t="s">
        <v>240</v>
      </c>
      <c r="C204" s="44" t="s">
        <v>241</v>
      </c>
      <c r="D204" s="45" t="s">
        <v>26</v>
      </c>
      <c r="E204" s="105"/>
      <c r="F204" s="46">
        <f t="shared" si="40"/>
        <v>200</v>
      </c>
      <c r="G204" s="46">
        <f t="shared" si="40"/>
        <v>600</v>
      </c>
      <c r="H204" s="46">
        <f t="shared" si="40"/>
        <v>800</v>
      </c>
      <c r="I204" s="47">
        <f t="shared" si="40"/>
        <v>0</v>
      </c>
      <c r="J204" s="88"/>
      <c r="K204" s="47">
        <f t="shared" si="40"/>
        <v>0</v>
      </c>
      <c r="L204" s="46">
        <f t="shared" si="40"/>
        <v>200</v>
      </c>
      <c r="M204" s="46">
        <f t="shared" si="40"/>
        <v>600</v>
      </c>
      <c r="N204" s="46">
        <f t="shared" si="40"/>
        <v>800</v>
      </c>
      <c r="O204" s="94"/>
      <c r="P204" s="94"/>
    </row>
    <row r="205" spans="1:16" ht="31.5" x14ac:dyDescent="0.2">
      <c r="A205" s="42"/>
      <c r="B205" s="43" t="s">
        <v>35</v>
      </c>
      <c r="C205" s="44" t="s">
        <v>241</v>
      </c>
      <c r="D205" s="45" t="s">
        <v>36</v>
      </c>
      <c r="E205" s="105"/>
      <c r="F205" s="46">
        <v>200</v>
      </c>
      <c r="G205" s="46">
        <v>600</v>
      </c>
      <c r="H205" s="46">
        <f>200+G205</f>
        <v>800</v>
      </c>
      <c r="I205" s="47">
        <v>0</v>
      </c>
      <c r="J205" s="88"/>
      <c r="K205" s="47">
        <v>0</v>
      </c>
      <c r="L205" s="46">
        <v>200</v>
      </c>
      <c r="M205" s="46">
        <f>SUM(G205)</f>
        <v>600</v>
      </c>
      <c r="N205" s="46">
        <f>200+M205</f>
        <v>800</v>
      </c>
      <c r="O205" s="94"/>
      <c r="P205" s="94"/>
    </row>
    <row r="206" spans="1:16" ht="15.75" x14ac:dyDescent="0.2">
      <c r="A206" s="49"/>
      <c r="B206" s="50" t="s">
        <v>140</v>
      </c>
      <c r="C206" s="51" t="s">
        <v>242</v>
      </c>
      <c r="D206" s="52" t="s">
        <v>26</v>
      </c>
      <c r="E206" s="106"/>
      <c r="F206" s="53">
        <f t="shared" ref="F206:N208" si="41">F207</f>
        <v>487.6</v>
      </c>
      <c r="G206" s="53">
        <f t="shared" si="41"/>
        <v>0</v>
      </c>
      <c r="H206" s="53">
        <f t="shared" si="41"/>
        <v>487.6</v>
      </c>
      <c r="I206" s="54">
        <f t="shared" si="41"/>
        <v>9262.4</v>
      </c>
      <c r="J206" s="53">
        <f>J207</f>
        <v>0</v>
      </c>
      <c r="K206" s="54">
        <f t="shared" si="41"/>
        <v>9262.4</v>
      </c>
      <c r="L206" s="53">
        <f t="shared" si="41"/>
        <v>9750</v>
      </c>
      <c r="M206" s="53">
        <f t="shared" si="41"/>
        <v>0</v>
      </c>
      <c r="N206" s="53">
        <f t="shared" si="41"/>
        <v>9750</v>
      </c>
      <c r="O206" s="95"/>
      <c r="P206" s="95"/>
    </row>
    <row r="207" spans="1:16" ht="31.5" x14ac:dyDescent="0.2">
      <c r="A207" s="42"/>
      <c r="B207" s="43" t="s">
        <v>243</v>
      </c>
      <c r="C207" s="44" t="s">
        <v>244</v>
      </c>
      <c r="D207" s="45" t="s">
        <v>26</v>
      </c>
      <c r="E207" s="105"/>
      <c r="F207" s="46">
        <f t="shared" si="41"/>
        <v>487.6</v>
      </c>
      <c r="G207" s="46">
        <f t="shared" si="41"/>
        <v>0</v>
      </c>
      <c r="H207" s="46">
        <f t="shared" si="41"/>
        <v>487.6</v>
      </c>
      <c r="I207" s="47">
        <f t="shared" si="41"/>
        <v>9262.4</v>
      </c>
      <c r="J207" s="88"/>
      <c r="K207" s="47">
        <f t="shared" si="41"/>
        <v>9262.4</v>
      </c>
      <c r="L207" s="46">
        <f t="shared" si="41"/>
        <v>9750</v>
      </c>
      <c r="M207" s="46">
        <f t="shared" si="41"/>
        <v>0</v>
      </c>
      <c r="N207" s="46">
        <f t="shared" si="41"/>
        <v>9750</v>
      </c>
      <c r="O207" s="94"/>
      <c r="P207" s="94"/>
    </row>
    <row r="208" spans="1:16" ht="69.599999999999994" customHeight="1" x14ac:dyDescent="0.2">
      <c r="A208" s="42"/>
      <c r="B208" s="43" t="s">
        <v>245</v>
      </c>
      <c r="C208" s="44" t="s">
        <v>246</v>
      </c>
      <c r="D208" s="45" t="s">
        <v>26</v>
      </c>
      <c r="E208" s="105"/>
      <c r="F208" s="46">
        <f t="shared" si="41"/>
        <v>487.6</v>
      </c>
      <c r="G208" s="46">
        <f t="shared" si="41"/>
        <v>0</v>
      </c>
      <c r="H208" s="46">
        <f t="shared" si="41"/>
        <v>487.6</v>
      </c>
      <c r="I208" s="47">
        <f t="shared" si="41"/>
        <v>9262.4</v>
      </c>
      <c r="J208" s="88"/>
      <c r="K208" s="47">
        <f t="shared" si="41"/>
        <v>9262.4</v>
      </c>
      <c r="L208" s="46">
        <f t="shared" si="41"/>
        <v>9750</v>
      </c>
      <c r="M208" s="46">
        <f t="shared" si="41"/>
        <v>0</v>
      </c>
      <c r="N208" s="46">
        <f t="shared" si="41"/>
        <v>9750</v>
      </c>
      <c r="O208" s="94"/>
      <c r="P208" s="94"/>
    </row>
    <row r="209" spans="1:17" ht="31.5" x14ac:dyDescent="0.2">
      <c r="A209" s="42"/>
      <c r="B209" s="43" t="s">
        <v>131</v>
      </c>
      <c r="C209" s="44" t="s">
        <v>246</v>
      </c>
      <c r="D209" s="45" t="s">
        <v>132</v>
      </c>
      <c r="E209" s="105"/>
      <c r="F209" s="46">
        <v>487.6</v>
      </c>
      <c r="G209" s="46"/>
      <c r="H209" s="46">
        <f>487.6+G209</f>
        <v>487.6</v>
      </c>
      <c r="I209" s="47">
        <v>9262.4</v>
      </c>
      <c r="J209" s="88"/>
      <c r="K209" s="47">
        <v>9262.4</v>
      </c>
      <c r="L209" s="46">
        <f>487.6+I209</f>
        <v>9750</v>
      </c>
      <c r="M209" s="46">
        <f>SUM(G209)</f>
        <v>0</v>
      </c>
      <c r="N209" s="46">
        <f>487.6+K209+M209</f>
        <v>9750</v>
      </c>
      <c r="O209" s="94"/>
      <c r="P209" s="94"/>
    </row>
    <row r="210" spans="1:17" ht="31.5" x14ac:dyDescent="0.2">
      <c r="A210" s="19" t="s">
        <v>247</v>
      </c>
      <c r="B210" s="20" t="s">
        <v>248</v>
      </c>
      <c r="C210" s="21" t="s">
        <v>249</v>
      </c>
      <c r="D210" s="22" t="s">
        <v>26</v>
      </c>
      <c r="E210" s="104"/>
      <c r="F210" s="23">
        <f t="shared" ref="F210:N210" si="42">F211+F215</f>
        <v>5236</v>
      </c>
      <c r="G210" s="23">
        <f t="shared" si="42"/>
        <v>0</v>
      </c>
      <c r="H210" s="23">
        <f t="shared" si="42"/>
        <v>5236</v>
      </c>
      <c r="I210" s="24">
        <f t="shared" si="42"/>
        <v>0</v>
      </c>
      <c r="J210" s="23">
        <f t="shared" si="42"/>
        <v>0</v>
      </c>
      <c r="K210" s="24">
        <f t="shared" si="42"/>
        <v>0</v>
      </c>
      <c r="L210" s="23">
        <f t="shared" si="42"/>
        <v>5236</v>
      </c>
      <c r="M210" s="23">
        <f t="shared" si="42"/>
        <v>0</v>
      </c>
      <c r="N210" s="23">
        <f t="shared" si="42"/>
        <v>5236</v>
      </c>
      <c r="O210" s="93"/>
      <c r="P210" s="93"/>
    </row>
    <row r="211" spans="1:17" ht="15.75" x14ac:dyDescent="0.2">
      <c r="A211" s="49"/>
      <c r="B211" s="50" t="s">
        <v>250</v>
      </c>
      <c r="C211" s="51" t="s">
        <v>251</v>
      </c>
      <c r="D211" s="52" t="s">
        <v>26</v>
      </c>
      <c r="E211" s="106"/>
      <c r="F211" s="53">
        <f t="shared" ref="F211:N213" si="43">F212</f>
        <v>3500</v>
      </c>
      <c r="G211" s="53">
        <f t="shared" si="43"/>
        <v>0</v>
      </c>
      <c r="H211" s="53">
        <f t="shared" si="43"/>
        <v>3500</v>
      </c>
      <c r="I211" s="54">
        <f t="shared" si="43"/>
        <v>0</v>
      </c>
      <c r="J211" s="53">
        <f>J212</f>
        <v>0</v>
      </c>
      <c r="K211" s="54">
        <f t="shared" si="43"/>
        <v>0</v>
      </c>
      <c r="L211" s="53">
        <f t="shared" si="43"/>
        <v>3500</v>
      </c>
      <c r="M211" s="53">
        <f t="shared" si="43"/>
        <v>0</v>
      </c>
      <c r="N211" s="53">
        <f t="shared" si="43"/>
        <v>3500</v>
      </c>
      <c r="O211" s="95"/>
      <c r="P211" s="95"/>
    </row>
    <row r="212" spans="1:17" ht="31.5" x14ac:dyDescent="0.2">
      <c r="A212" s="42"/>
      <c r="B212" s="43" t="s">
        <v>252</v>
      </c>
      <c r="C212" s="44" t="s">
        <v>253</v>
      </c>
      <c r="D212" s="45" t="s">
        <v>26</v>
      </c>
      <c r="E212" s="105"/>
      <c r="F212" s="46">
        <f t="shared" si="43"/>
        <v>3500</v>
      </c>
      <c r="G212" s="46">
        <f t="shared" si="43"/>
        <v>0</v>
      </c>
      <c r="H212" s="46">
        <f t="shared" si="43"/>
        <v>3500</v>
      </c>
      <c r="I212" s="47">
        <f t="shared" si="43"/>
        <v>0</v>
      </c>
      <c r="J212" s="88"/>
      <c r="K212" s="47">
        <f t="shared" si="43"/>
        <v>0</v>
      </c>
      <c r="L212" s="46">
        <f t="shared" si="43"/>
        <v>3500</v>
      </c>
      <c r="M212" s="46">
        <f t="shared" si="43"/>
        <v>0</v>
      </c>
      <c r="N212" s="46">
        <f t="shared" si="43"/>
        <v>3500</v>
      </c>
      <c r="O212" s="94"/>
      <c r="P212" s="94"/>
    </row>
    <row r="213" spans="1:17" ht="31.5" x14ac:dyDescent="0.2">
      <c r="A213" s="42"/>
      <c r="B213" s="43" t="s">
        <v>254</v>
      </c>
      <c r="C213" s="44" t="s">
        <v>255</v>
      </c>
      <c r="D213" s="45" t="s">
        <v>26</v>
      </c>
      <c r="E213" s="105"/>
      <c r="F213" s="46">
        <f t="shared" si="43"/>
        <v>3500</v>
      </c>
      <c r="G213" s="46">
        <f t="shared" si="43"/>
        <v>0</v>
      </c>
      <c r="H213" s="46">
        <f t="shared" si="43"/>
        <v>3500</v>
      </c>
      <c r="I213" s="47">
        <f t="shared" si="43"/>
        <v>0</v>
      </c>
      <c r="J213" s="88"/>
      <c r="K213" s="47">
        <f t="shared" si="43"/>
        <v>0</v>
      </c>
      <c r="L213" s="46">
        <f t="shared" si="43"/>
        <v>3500</v>
      </c>
      <c r="M213" s="46">
        <f t="shared" si="43"/>
        <v>0</v>
      </c>
      <c r="N213" s="46">
        <f t="shared" si="43"/>
        <v>3500</v>
      </c>
      <c r="O213" s="94"/>
      <c r="P213" s="94"/>
    </row>
    <row r="214" spans="1:17" ht="31.5" x14ac:dyDescent="0.2">
      <c r="A214" s="42"/>
      <c r="B214" s="43" t="s">
        <v>35</v>
      </c>
      <c r="C214" s="44" t="s">
        <v>255</v>
      </c>
      <c r="D214" s="45" t="s">
        <v>36</v>
      </c>
      <c r="E214" s="105"/>
      <c r="F214" s="46">
        <v>3500</v>
      </c>
      <c r="G214" s="46"/>
      <c r="H214" s="46">
        <v>3500</v>
      </c>
      <c r="I214" s="47">
        <v>0</v>
      </c>
      <c r="J214" s="88"/>
      <c r="K214" s="47">
        <v>0</v>
      </c>
      <c r="L214" s="46">
        <v>3500</v>
      </c>
      <c r="M214" s="46"/>
      <c r="N214" s="46">
        <v>3500</v>
      </c>
      <c r="O214" s="94"/>
      <c r="P214" s="94"/>
    </row>
    <row r="215" spans="1:17" ht="15.75" x14ac:dyDescent="0.2">
      <c r="A215" s="49"/>
      <c r="B215" s="50" t="s">
        <v>256</v>
      </c>
      <c r="C215" s="51" t="s">
        <v>257</v>
      </c>
      <c r="D215" s="52" t="s">
        <v>26</v>
      </c>
      <c r="E215" s="106"/>
      <c r="F215" s="53">
        <f t="shared" ref="F215:N217" si="44">F216</f>
        <v>1736</v>
      </c>
      <c r="G215" s="53">
        <f t="shared" si="44"/>
        <v>0</v>
      </c>
      <c r="H215" s="53">
        <f t="shared" si="44"/>
        <v>1736</v>
      </c>
      <c r="I215" s="54">
        <f t="shared" si="44"/>
        <v>0</v>
      </c>
      <c r="J215" s="53">
        <f>J216</f>
        <v>0</v>
      </c>
      <c r="K215" s="54">
        <f t="shared" si="44"/>
        <v>0</v>
      </c>
      <c r="L215" s="53">
        <f t="shared" si="44"/>
        <v>1736</v>
      </c>
      <c r="M215" s="53">
        <f t="shared" si="44"/>
        <v>0</v>
      </c>
      <c r="N215" s="53">
        <f t="shared" si="44"/>
        <v>1736</v>
      </c>
      <c r="O215" s="95"/>
      <c r="P215" s="95"/>
    </row>
    <row r="216" spans="1:17" ht="31.5" x14ac:dyDescent="0.2">
      <c r="A216" s="42"/>
      <c r="B216" s="43" t="s">
        <v>258</v>
      </c>
      <c r="C216" s="44" t="s">
        <v>259</v>
      </c>
      <c r="D216" s="45" t="s">
        <v>26</v>
      </c>
      <c r="E216" s="105"/>
      <c r="F216" s="46">
        <f t="shared" si="44"/>
        <v>1736</v>
      </c>
      <c r="G216" s="46">
        <f t="shared" si="44"/>
        <v>0</v>
      </c>
      <c r="H216" s="46">
        <f t="shared" si="44"/>
        <v>1736</v>
      </c>
      <c r="I216" s="47">
        <f t="shared" si="44"/>
        <v>0</v>
      </c>
      <c r="J216" s="88"/>
      <c r="K216" s="47">
        <f t="shared" si="44"/>
        <v>0</v>
      </c>
      <c r="L216" s="46">
        <f t="shared" si="44"/>
        <v>1736</v>
      </c>
      <c r="M216" s="46">
        <f t="shared" si="44"/>
        <v>0</v>
      </c>
      <c r="N216" s="46">
        <f t="shared" si="44"/>
        <v>1736</v>
      </c>
      <c r="O216" s="94"/>
      <c r="P216" s="94"/>
    </row>
    <row r="217" spans="1:17" ht="31.5" x14ac:dyDescent="0.2">
      <c r="A217" s="42"/>
      <c r="B217" s="43" t="s">
        <v>254</v>
      </c>
      <c r="C217" s="44" t="s">
        <v>260</v>
      </c>
      <c r="D217" s="45" t="s">
        <v>26</v>
      </c>
      <c r="E217" s="105"/>
      <c r="F217" s="46">
        <f t="shared" si="44"/>
        <v>1736</v>
      </c>
      <c r="G217" s="46">
        <f t="shared" si="44"/>
        <v>0</v>
      </c>
      <c r="H217" s="46">
        <f t="shared" si="44"/>
        <v>1736</v>
      </c>
      <c r="I217" s="47">
        <f t="shared" si="44"/>
        <v>0</v>
      </c>
      <c r="J217" s="88"/>
      <c r="K217" s="47">
        <f t="shared" si="44"/>
        <v>0</v>
      </c>
      <c r="L217" s="46">
        <f t="shared" si="44"/>
        <v>1736</v>
      </c>
      <c r="M217" s="46">
        <f t="shared" si="44"/>
        <v>0</v>
      </c>
      <c r="N217" s="46">
        <f t="shared" si="44"/>
        <v>1736</v>
      </c>
      <c r="O217" s="94"/>
      <c r="P217" s="94"/>
    </row>
    <row r="218" spans="1:17" ht="63" x14ac:dyDescent="0.2">
      <c r="A218" s="42"/>
      <c r="B218" s="43" t="s">
        <v>261</v>
      </c>
      <c r="C218" s="44" t="s">
        <v>260</v>
      </c>
      <c r="D218" s="45" t="s">
        <v>36</v>
      </c>
      <c r="E218" s="105"/>
      <c r="F218" s="46">
        <v>1736</v>
      </c>
      <c r="G218" s="46"/>
      <c r="H218" s="46">
        <v>1736</v>
      </c>
      <c r="I218" s="47">
        <v>0</v>
      </c>
      <c r="J218" s="88"/>
      <c r="K218" s="47">
        <v>0</v>
      </c>
      <c r="L218" s="46">
        <v>1736</v>
      </c>
      <c r="M218" s="46"/>
      <c r="N218" s="46">
        <v>1736</v>
      </c>
      <c r="O218" s="94"/>
      <c r="P218" s="94"/>
    </row>
    <row r="219" spans="1:17" ht="31.5" x14ac:dyDescent="0.2">
      <c r="A219" s="19" t="s">
        <v>262</v>
      </c>
      <c r="B219" s="20" t="s">
        <v>263</v>
      </c>
      <c r="C219" s="21" t="s">
        <v>264</v>
      </c>
      <c r="D219" s="22" t="s">
        <v>26</v>
      </c>
      <c r="E219" s="104"/>
      <c r="F219" s="23">
        <f t="shared" ref="F219:N219" si="45">F220+F242+F246+F252+F256</f>
        <v>42465.8</v>
      </c>
      <c r="G219" s="23">
        <f t="shared" si="45"/>
        <v>792.3</v>
      </c>
      <c r="H219" s="23">
        <f t="shared" si="45"/>
        <v>43258.100000000006</v>
      </c>
      <c r="I219" s="24">
        <f t="shared" si="45"/>
        <v>0</v>
      </c>
      <c r="J219" s="23">
        <f t="shared" si="45"/>
        <v>0</v>
      </c>
      <c r="K219" s="24">
        <f t="shared" si="45"/>
        <v>0</v>
      </c>
      <c r="L219" s="23">
        <f t="shared" si="45"/>
        <v>42465.8</v>
      </c>
      <c r="M219" s="23">
        <f t="shared" si="45"/>
        <v>792.3</v>
      </c>
      <c r="N219" s="23">
        <f t="shared" si="45"/>
        <v>43258.100000000006</v>
      </c>
      <c r="O219" s="93"/>
      <c r="P219" s="93"/>
      <c r="Q219" s="25"/>
    </row>
    <row r="220" spans="1:17" ht="49.9" customHeight="1" x14ac:dyDescent="0.2">
      <c r="A220" s="49"/>
      <c r="B220" s="50" t="s">
        <v>265</v>
      </c>
      <c r="C220" s="51" t="s">
        <v>266</v>
      </c>
      <c r="D220" s="52" t="s">
        <v>26</v>
      </c>
      <c r="E220" s="106"/>
      <c r="F220" s="53">
        <f t="shared" ref="F220:N220" si="46">F221+F232+F235</f>
        <v>32661.599999999999</v>
      </c>
      <c r="G220" s="53">
        <f t="shared" si="46"/>
        <v>792.3</v>
      </c>
      <c r="H220" s="53">
        <f t="shared" si="46"/>
        <v>33453.9</v>
      </c>
      <c r="I220" s="54">
        <f t="shared" si="46"/>
        <v>0</v>
      </c>
      <c r="J220" s="53">
        <f t="shared" si="46"/>
        <v>0</v>
      </c>
      <c r="K220" s="54">
        <f t="shared" si="46"/>
        <v>0</v>
      </c>
      <c r="L220" s="53">
        <f t="shared" si="46"/>
        <v>32661.599999999999</v>
      </c>
      <c r="M220" s="53">
        <f t="shared" si="46"/>
        <v>792.3</v>
      </c>
      <c r="N220" s="53">
        <f t="shared" si="46"/>
        <v>33453.9</v>
      </c>
      <c r="O220" s="95"/>
      <c r="P220" s="95"/>
      <c r="Q220" s="55"/>
    </row>
    <row r="221" spans="1:17" ht="50.45" customHeight="1" x14ac:dyDescent="0.2">
      <c r="A221" s="42"/>
      <c r="B221" s="43" t="s">
        <v>267</v>
      </c>
      <c r="C221" s="44" t="s">
        <v>268</v>
      </c>
      <c r="D221" s="45" t="s">
        <v>26</v>
      </c>
      <c r="E221" s="105"/>
      <c r="F221" s="46">
        <f>F222+F226+F230</f>
        <v>17560.900000000001</v>
      </c>
      <c r="G221" s="46">
        <f>G222+G226+G230+G228</f>
        <v>792.3</v>
      </c>
      <c r="H221" s="46">
        <f>H222+H226+H230+H228</f>
        <v>18353.2</v>
      </c>
      <c r="I221" s="47">
        <f>I222+I226+I230</f>
        <v>0</v>
      </c>
      <c r="J221" s="88"/>
      <c r="K221" s="47">
        <f>K222+K226+K230</f>
        <v>0</v>
      </c>
      <c r="L221" s="46">
        <f>L222+L226+L230</f>
        <v>17560.900000000001</v>
      </c>
      <c r="M221" s="46">
        <f>M222+M226+M230+M228</f>
        <v>792.3</v>
      </c>
      <c r="N221" s="46">
        <v>18353.2</v>
      </c>
      <c r="O221" s="94"/>
      <c r="P221" s="94"/>
      <c r="Q221" s="48"/>
    </row>
    <row r="222" spans="1:17" ht="31.5" x14ac:dyDescent="0.2">
      <c r="A222" s="42"/>
      <c r="B222" s="43" t="s">
        <v>39</v>
      </c>
      <c r="C222" s="44" t="s">
        <v>269</v>
      </c>
      <c r="D222" s="45" t="s">
        <v>26</v>
      </c>
      <c r="E222" s="105"/>
      <c r="F222" s="46">
        <f>F223+F224+F225</f>
        <v>10737.1</v>
      </c>
      <c r="G222" s="46">
        <f>SUM(G224)</f>
        <v>185.9</v>
      </c>
      <c r="H222" s="46">
        <f>H223+H224+H225</f>
        <v>10923</v>
      </c>
      <c r="I222" s="47">
        <f>I223+I224+I225</f>
        <v>0</v>
      </c>
      <c r="J222" s="88"/>
      <c r="K222" s="47">
        <f>K223+K224+K225</f>
        <v>0</v>
      </c>
      <c r="L222" s="46">
        <f>L223+L224+L225</f>
        <v>10737.1</v>
      </c>
      <c r="M222" s="46">
        <f>SUM(G222)</f>
        <v>185.9</v>
      </c>
      <c r="N222" s="46">
        <f>N223+N224+N225</f>
        <v>10923</v>
      </c>
      <c r="O222" s="94"/>
      <c r="P222" s="94"/>
    </row>
    <row r="223" spans="1:17" ht="64.900000000000006" customHeight="1" x14ac:dyDescent="0.2">
      <c r="A223" s="42"/>
      <c r="B223" s="43" t="s">
        <v>31</v>
      </c>
      <c r="C223" s="44" t="s">
        <v>269</v>
      </c>
      <c r="D223" s="45" t="s">
        <v>32</v>
      </c>
      <c r="E223" s="105"/>
      <c r="F223" s="46">
        <v>9374.7000000000007</v>
      </c>
      <c r="G223" s="46"/>
      <c r="H223" s="46">
        <v>9374.7000000000007</v>
      </c>
      <c r="I223" s="47">
        <v>0</v>
      </c>
      <c r="J223" s="88"/>
      <c r="K223" s="47">
        <v>0</v>
      </c>
      <c r="L223" s="46">
        <f t="shared" ref="L223:N224" si="47">SUM(F223)</f>
        <v>9374.7000000000007</v>
      </c>
      <c r="M223" s="46">
        <f t="shared" si="47"/>
        <v>0</v>
      </c>
      <c r="N223" s="46">
        <f t="shared" si="47"/>
        <v>9374.7000000000007</v>
      </c>
      <c r="O223" s="94"/>
      <c r="P223" s="94"/>
    </row>
    <row r="224" spans="1:17" ht="31.5" x14ac:dyDescent="0.2">
      <c r="A224" s="42"/>
      <c r="B224" s="43" t="s">
        <v>35</v>
      </c>
      <c r="C224" s="44" t="s">
        <v>269</v>
      </c>
      <c r="D224" s="45" t="s">
        <v>36</v>
      </c>
      <c r="E224" s="105"/>
      <c r="F224" s="46">
        <v>1339.4</v>
      </c>
      <c r="G224" s="46">
        <v>185.9</v>
      </c>
      <c r="H224" s="46">
        <f>1339.4+G224</f>
        <v>1525.3000000000002</v>
      </c>
      <c r="I224" s="47">
        <v>0</v>
      </c>
      <c r="J224" s="88"/>
      <c r="K224" s="47">
        <v>0</v>
      </c>
      <c r="L224" s="46">
        <f t="shared" si="47"/>
        <v>1339.4</v>
      </c>
      <c r="M224" s="46">
        <f t="shared" si="47"/>
        <v>185.9</v>
      </c>
      <c r="N224" s="46">
        <f t="shared" si="47"/>
        <v>1525.3000000000002</v>
      </c>
      <c r="O224" s="94"/>
      <c r="P224" s="94"/>
    </row>
    <row r="225" spans="1:16" ht="15.75" x14ac:dyDescent="0.2">
      <c r="A225" s="42"/>
      <c r="B225" s="43" t="s">
        <v>41</v>
      </c>
      <c r="C225" s="44" t="s">
        <v>269</v>
      </c>
      <c r="D225" s="45" t="s">
        <v>42</v>
      </c>
      <c r="E225" s="105"/>
      <c r="F225" s="46">
        <v>23</v>
      </c>
      <c r="G225" s="46"/>
      <c r="H225" s="46">
        <v>23</v>
      </c>
      <c r="I225" s="47">
        <v>0</v>
      </c>
      <c r="J225" s="88"/>
      <c r="K225" s="47">
        <v>0</v>
      </c>
      <c r="L225" s="46">
        <v>23</v>
      </c>
      <c r="M225" s="46"/>
      <c r="N225" s="46">
        <v>23</v>
      </c>
      <c r="O225" s="94"/>
      <c r="P225" s="94"/>
    </row>
    <row r="226" spans="1:16" ht="48.6" customHeight="1" x14ac:dyDescent="0.2">
      <c r="A226" s="42"/>
      <c r="B226" s="43" t="s">
        <v>270</v>
      </c>
      <c r="C226" s="44" t="s">
        <v>271</v>
      </c>
      <c r="D226" s="45" t="s">
        <v>26</v>
      </c>
      <c r="E226" s="105"/>
      <c r="F226" s="46">
        <f>F227</f>
        <v>5823.8</v>
      </c>
      <c r="G226" s="46">
        <f>G227</f>
        <v>-593.6</v>
      </c>
      <c r="H226" s="46">
        <f>H227</f>
        <v>5230.2</v>
      </c>
      <c r="I226" s="47">
        <f>I227</f>
        <v>0</v>
      </c>
      <c r="J226" s="88"/>
      <c r="K226" s="47">
        <f>K227</f>
        <v>0</v>
      </c>
      <c r="L226" s="46">
        <f>L227</f>
        <v>5823.8</v>
      </c>
      <c r="M226" s="46">
        <f>M227</f>
        <v>-593.6</v>
      </c>
      <c r="N226" s="46">
        <f>N227</f>
        <v>5230.2</v>
      </c>
      <c r="O226" s="94"/>
      <c r="P226" s="94"/>
    </row>
    <row r="227" spans="1:16" ht="31.5" x14ac:dyDescent="0.2">
      <c r="A227" s="42"/>
      <c r="B227" s="43" t="s">
        <v>35</v>
      </c>
      <c r="C227" s="44" t="s">
        <v>271</v>
      </c>
      <c r="D227" s="45" t="s">
        <v>36</v>
      </c>
      <c r="E227" s="105"/>
      <c r="F227" s="56">
        <v>5823.8</v>
      </c>
      <c r="G227" s="56">
        <v>-593.6</v>
      </c>
      <c r="H227" s="56">
        <f>SUM(F227)+G227</f>
        <v>5230.2</v>
      </c>
      <c r="I227" s="47">
        <v>0</v>
      </c>
      <c r="J227" s="111"/>
      <c r="K227" s="47">
        <v>0</v>
      </c>
      <c r="L227" s="56">
        <f>SUM(F227)</f>
        <v>5823.8</v>
      </c>
      <c r="M227" s="56">
        <f>SUM(G227)</f>
        <v>-593.6</v>
      </c>
      <c r="N227" s="56">
        <f>SUM(H227)</f>
        <v>5230.2</v>
      </c>
      <c r="O227" s="94"/>
      <c r="P227" s="94"/>
    </row>
    <row r="228" spans="1:16" ht="28.5" customHeight="1" x14ac:dyDescent="0.2">
      <c r="A228" s="42"/>
      <c r="B228" s="145" t="s">
        <v>456</v>
      </c>
      <c r="C228" s="44" t="s">
        <v>455</v>
      </c>
      <c r="D228" s="45"/>
      <c r="E228" s="105"/>
      <c r="F228" s="56"/>
      <c r="G228" s="56">
        <f>593.6+606.4</f>
        <v>1200</v>
      </c>
      <c r="H228" s="56">
        <f>SUM(G228)</f>
        <v>1200</v>
      </c>
      <c r="I228" s="47"/>
      <c r="J228" s="111"/>
      <c r="K228" s="47"/>
      <c r="L228" s="56"/>
      <c r="M228" s="56">
        <f>SUM(G228)</f>
        <v>1200</v>
      </c>
      <c r="N228" s="56">
        <f>SUM(H228)</f>
        <v>1200</v>
      </c>
      <c r="O228" s="94"/>
      <c r="P228" s="94"/>
    </row>
    <row r="229" spans="1:16" ht="31.5" x14ac:dyDescent="0.2">
      <c r="A229" s="42"/>
      <c r="B229" s="43" t="s">
        <v>35</v>
      </c>
      <c r="C229" s="44" t="s">
        <v>455</v>
      </c>
      <c r="D229" s="45" t="s">
        <v>36</v>
      </c>
      <c r="E229" s="105"/>
      <c r="F229" s="56"/>
      <c r="G229" s="56">
        <f>593.6+606.4</f>
        <v>1200</v>
      </c>
      <c r="H229" s="56">
        <f>SUM(G229)</f>
        <v>1200</v>
      </c>
      <c r="I229" s="47"/>
      <c r="J229" s="111"/>
      <c r="K229" s="47"/>
      <c r="L229" s="56"/>
      <c r="M229" s="56">
        <f>SUM(G229)</f>
        <v>1200</v>
      </c>
      <c r="N229" s="56">
        <f>SUM(H229)</f>
        <v>1200</v>
      </c>
      <c r="O229" s="94"/>
      <c r="P229" s="94"/>
    </row>
    <row r="230" spans="1:16" ht="47.25" x14ac:dyDescent="0.2">
      <c r="A230" s="42"/>
      <c r="B230" s="43" t="s">
        <v>272</v>
      </c>
      <c r="C230" s="44" t="s">
        <v>273</v>
      </c>
      <c r="D230" s="45" t="s">
        <v>26</v>
      </c>
      <c r="E230" s="105"/>
      <c r="F230" s="46">
        <f>F231</f>
        <v>1000</v>
      </c>
      <c r="G230" s="46">
        <f>G231</f>
        <v>0</v>
      </c>
      <c r="H230" s="46">
        <f>H231</f>
        <v>1000</v>
      </c>
      <c r="I230" s="47">
        <f>I231</f>
        <v>0</v>
      </c>
      <c r="J230" s="88"/>
      <c r="K230" s="47">
        <f>K231</f>
        <v>0</v>
      </c>
      <c r="L230" s="46">
        <f>L231</f>
        <v>1000</v>
      </c>
      <c r="M230" s="46">
        <f>M231</f>
        <v>0</v>
      </c>
      <c r="N230" s="46">
        <f>N231</f>
        <v>1000</v>
      </c>
      <c r="O230" s="94"/>
      <c r="P230" s="94"/>
    </row>
    <row r="231" spans="1:16" ht="31.5" x14ac:dyDescent="0.2">
      <c r="A231" s="42"/>
      <c r="B231" s="43" t="s">
        <v>35</v>
      </c>
      <c r="C231" s="44" t="s">
        <v>273</v>
      </c>
      <c r="D231" s="45" t="s">
        <v>36</v>
      </c>
      <c r="E231" s="105"/>
      <c r="F231" s="46">
        <v>1000</v>
      </c>
      <c r="G231" s="46"/>
      <c r="H231" s="46">
        <v>1000</v>
      </c>
      <c r="I231" s="47">
        <v>0</v>
      </c>
      <c r="J231" s="88"/>
      <c r="K231" s="47">
        <v>0</v>
      </c>
      <c r="L231" s="46">
        <v>1000</v>
      </c>
      <c r="M231" s="46"/>
      <c r="N231" s="46">
        <v>1000</v>
      </c>
      <c r="O231" s="94"/>
      <c r="P231" s="94"/>
    </row>
    <row r="232" spans="1:16" ht="31.5" x14ac:dyDescent="0.2">
      <c r="A232" s="42"/>
      <c r="B232" s="43" t="s">
        <v>274</v>
      </c>
      <c r="C232" s="44" t="s">
        <v>275</v>
      </c>
      <c r="D232" s="45" t="s">
        <v>26</v>
      </c>
      <c r="E232" s="105"/>
      <c r="F232" s="46">
        <f t="shared" ref="F232:N233" si="48">F233</f>
        <v>13584.1</v>
      </c>
      <c r="G232" s="46">
        <f t="shared" si="48"/>
        <v>0</v>
      </c>
      <c r="H232" s="46">
        <f t="shared" si="48"/>
        <v>13584.1</v>
      </c>
      <c r="I232" s="47">
        <f t="shared" si="48"/>
        <v>0</v>
      </c>
      <c r="J232" s="88"/>
      <c r="K232" s="47">
        <f t="shared" si="48"/>
        <v>0</v>
      </c>
      <c r="L232" s="46">
        <f t="shared" si="48"/>
        <v>13584.1</v>
      </c>
      <c r="M232" s="46">
        <f t="shared" si="48"/>
        <v>0</v>
      </c>
      <c r="N232" s="46">
        <f t="shared" si="48"/>
        <v>13584.1</v>
      </c>
      <c r="O232" s="94"/>
      <c r="P232" s="94"/>
    </row>
    <row r="233" spans="1:16" ht="78.75" x14ac:dyDescent="0.2">
      <c r="A233" s="42"/>
      <c r="B233" s="43" t="s">
        <v>276</v>
      </c>
      <c r="C233" s="44" t="s">
        <v>277</v>
      </c>
      <c r="D233" s="45" t="s">
        <v>26</v>
      </c>
      <c r="E233" s="105"/>
      <c r="F233" s="46">
        <f t="shared" si="48"/>
        <v>13584.1</v>
      </c>
      <c r="G233" s="46">
        <f t="shared" si="48"/>
        <v>0</v>
      </c>
      <c r="H233" s="46">
        <f t="shared" si="48"/>
        <v>13584.1</v>
      </c>
      <c r="I233" s="47">
        <f t="shared" si="48"/>
        <v>0</v>
      </c>
      <c r="J233" s="88"/>
      <c r="K233" s="47">
        <f t="shared" si="48"/>
        <v>0</v>
      </c>
      <c r="L233" s="46">
        <f t="shared" si="48"/>
        <v>13584.1</v>
      </c>
      <c r="M233" s="46">
        <f t="shared" si="48"/>
        <v>0</v>
      </c>
      <c r="N233" s="46">
        <f t="shared" si="48"/>
        <v>13584.1</v>
      </c>
      <c r="O233" s="94"/>
      <c r="P233" s="94"/>
    </row>
    <row r="234" spans="1:16" ht="15.75" x14ac:dyDescent="0.2">
      <c r="A234" s="42"/>
      <c r="B234" s="43" t="s">
        <v>278</v>
      </c>
      <c r="C234" s="44" t="s">
        <v>277</v>
      </c>
      <c r="D234" s="45" t="s">
        <v>279</v>
      </c>
      <c r="E234" s="105"/>
      <c r="F234" s="77">
        <f>13584.2-0.1</f>
        <v>13584.1</v>
      </c>
      <c r="G234" s="77"/>
      <c r="H234" s="77">
        <f>13584.2-0.1</f>
        <v>13584.1</v>
      </c>
      <c r="I234" s="47">
        <v>0</v>
      </c>
      <c r="J234" s="113"/>
      <c r="K234" s="47">
        <v>0</v>
      </c>
      <c r="L234" s="77">
        <f>13584.2-0.1</f>
        <v>13584.1</v>
      </c>
      <c r="M234" s="77"/>
      <c r="N234" s="77">
        <f>13584.2-0.1</f>
        <v>13584.1</v>
      </c>
      <c r="O234" s="94"/>
      <c r="P234" s="94"/>
    </row>
    <row r="235" spans="1:16" ht="47.25" x14ac:dyDescent="0.2">
      <c r="A235" s="42"/>
      <c r="B235" s="43" t="s">
        <v>280</v>
      </c>
      <c r="C235" s="44" t="s">
        <v>281</v>
      </c>
      <c r="D235" s="45" t="s">
        <v>26</v>
      </c>
      <c r="E235" s="105"/>
      <c r="F235" s="46">
        <f t="shared" ref="F235:N236" si="49">F236</f>
        <v>1516.6000000000001</v>
      </c>
      <c r="G235" s="46">
        <f t="shared" si="49"/>
        <v>0</v>
      </c>
      <c r="H235" s="46">
        <f t="shared" si="49"/>
        <v>1516.6000000000001</v>
      </c>
      <c r="I235" s="47">
        <f t="shared" si="49"/>
        <v>0</v>
      </c>
      <c r="J235" s="88"/>
      <c r="K235" s="47">
        <f t="shared" si="49"/>
        <v>0</v>
      </c>
      <c r="L235" s="46">
        <f t="shared" si="49"/>
        <v>1516.6000000000001</v>
      </c>
      <c r="M235" s="46">
        <f t="shared" si="49"/>
        <v>0</v>
      </c>
      <c r="N235" s="46">
        <f t="shared" si="49"/>
        <v>1516.6000000000001</v>
      </c>
      <c r="O235" s="94"/>
      <c r="P235" s="94"/>
    </row>
    <row r="236" spans="1:16" ht="67.900000000000006" customHeight="1" x14ac:dyDescent="0.2">
      <c r="A236" s="42"/>
      <c r="B236" s="43" t="s">
        <v>282</v>
      </c>
      <c r="C236" s="44" t="s">
        <v>283</v>
      </c>
      <c r="D236" s="45" t="s">
        <v>26</v>
      </c>
      <c r="E236" s="105"/>
      <c r="F236" s="46">
        <f t="shared" si="49"/>
        <v>1516.6000000000001</v>
      </c>
      <c r="G236" s="46">
        <f t="shared" si="49"/>
        <v>0</v>
      </c>
      <c r="H236" s="46">
        <f t="shared" si="49"/>
        <v>1516.6000000000001</v>
      </c>
      <c r="I236" s="47">
        <f t="shared" si="49"/>
        <v>0</v>
      </c>
      <c r="J236" s="88"/>
      <c r="K236" s="47">
        <f t="shared" si="49"/>
        <v>0</v>
      </c>
      <c r="L236" s="46">
        <f t="shared" si="49"/>
        <v>1516.6000000000001</v>
      </c>
      <c r="M236" s="46">
        <f t="shared" si="49"/>
        <v>0</v>
      </c>
      <c r="N236" s="46">
        <f t="shared" si="49"/>
        <v>1516.6000000000001</v>
      </c>
      <c r="O236" s="94"/>
      <c r="P236" s="94"/>
    </row>
    <row r="237" spans="1:16" ht="15.75" x14ac:dyDescent="0.2">
      <c r="A237" s="42"/>
      <c r="B237" s="43" t="s">
        <v>278</v>
      </c>
      <c r="C237" s="44" t="s">
        <v>283</v>
      </c>
      <c r="D237" s="45" t="s">
        <v>279</v>
      </c>
      <c r="E237" s="105"/>
      <c r="F237" s="77">
        <f>1516.7-0.1</f>
        <v>1516.6000000000001</v>
      </c>
      <c r="G237" s="77"/>
      <c r="H237" s="77">
        <f>1516.7-0.1</f>
        <v>1516.6000000000001</v>
      </c>
      <c r="I237" s="47">
        <v>0</v>
      </c>
      <c r="J237" s="113"/>
      <c r="K237" s="47">
        <v>0</v>
      </c>
      <c r="L237" s="77">
        <f>1516.7-0.1</f>
        <v>1516.6000000000001</v>
      </c>
      <c r="M237" s="77"/>
      <c r="N237" s="77">
        <f>1516.7-0.1</f>
        <v>1516.6000000000001</v>
      </c>
      <c r="O237" s="94"/>
      <c r="P237" s="94"/>
    </row>
    <row r="238" spans="1:16" ht="0.75" customHeight="1" x14ac:dyDescent="0.2">
      <c r="A238" s="42"/>
      <c r="B238" s="43" t="s">
        <v>448</v>
      </c>
      <c r="C238" s="44" t="s">
        <v>422</v>
      </c>
      <c r="D238" s="45"/>
      <c r="E238" s="105"/>
      <c r="F238" s="77"/>
      <c r="G238" s="77"/>
      <c r="H238" s="77">
        <f>SUM(G238)</f>
        <v>0</v>
      </c>
      <c r="I238" s="47"/>
      <c r="J238" s="113"/>
      <c r="K238" s="47"/>
      <c r="L238" s="77"/>
      <c r="M238" s="77">
        <f t="shared" ref="M238:N241" si="50">SUM(G238)</f>
        <v>0</v>
      </c>
      <c r="N238" s="77">
        <f t="shared" si="50"/>
        <v>0</v>
      </c>
      <c r="O238" s="94"/>
      <c r="P238" s="94"/>
    </row>
    <row r="239" spans="1:16" ht="15.75" hidden="1" x14ac:dyDescent="0.2">
      <c r="A239" s="42"/>
      <c r="B239" s="43" t="s">
        <v>432</v>
      </c>
      <c r="C239" s="44" t="s">
        <v>433</v>
      </c>
      <c r="D239" s="45"/>
      <c r="E239" s="105"/>
      <c r="F239" s="77"/>
      <c r="G239" s="77"/>
      <c r="H239" s="77">
        <f>SUM(G239)</f>
        <v>0</v>
      </c>
      <c r="I239" s="47"/>
      <c r="J239" s="113"/>
      <c r="K239" s="47"/>
      <c r="L239" s="77"/>
      <c r="M239" s="77">
        <f t="shared" si="50"/>
        <v>0</v>
      </c>
      <c r="N239" s="77">
        <f t="shared" si="50"/>
        <v>0</v>
      </c>
      <c r="O239" s="94"/>
      <c r="P239" s="94"/>
    </row>
    <row r="240" spans="1:16" ht="31.5" hidden="1" x14ac:dyDescent="0.2">
      <c r="A240" s="42"/>
      <c r="B240" s="43" t="s">
        <v>434</v>
      </c>
      <c r="C240" s="44" t="s">
        <v>435</v>
      </c>
      <c r="D240" s="45"/>
      <c r="E240" s="105"/>
      <c r="F240" s="77"/>
      <c r="G240" s="77"/>
      <c r="H240" s="77">
        <f>SUM(G240)</f>
        <v>0</v>
      </c>
      <c r="I240" s="47"/>
      <c r="J240" s="113"/>
      <c r="K240" s="47"/>
      <c r="L240" s="77"/>
      <c r="M240" s="77">
        <f t="shared" si="50"/>
        <v>0</v>
      </c>
      <c r="N240" s="77">
        <f t="shared" si="50"/>
        <v>0</v>
      </c>
      <c r="O240" s="94"/>
      <c r="P240" s="94"/>
    </row>
    <row r="241" spans="1:16" ht="31.5" hidden="1" x14ac:dyDescent="0.2">
      <c r="A241" s="42"/>
      <c r="B241" s="43" t="s">
        <v>35</v>
      </c>
      <c r="C241" s="44" t="s">
        <v>435</v>
      </c>
      <c r="D241" s="45" t="s">
        <v>36</v>
      </c>
      <c r="E241" s="105"/>
      <c r="F241" s="77"/>
      <c r="G241" s="77"/>
      <c r="H241" s="77">
        <f>SUM(G241)</f>
        <v>0</v>
      </c>
      <c r="I241" s="47"/>
      <c r="J241" s="113"/>
      <c r="K241" s="47"/>
      <c r="L241" s="77"/>
      <c r="M241" s="77">
        <f t="shared" si="50"/>
        <v>0</v>
      </c>
      <c r="N241" s="77">
        <f t="shared" si="50"/>
        <v>0</v>
      </c>
      <c r="O241" s="94"/>
      <c r="P241" s="94"/>
    </row>
    <row r="242" spans="1:16" ht="15.75" x14ac:dyDescent="0.2">
      <c r="A242" s="49"/>
      <c r="B242" s="50" t="s">
        <v>284</v>
      </c>
      <c r="C242" s="51" t="s">
        <v>285</v>
      </c>
      <c r="D242" s="52" t="s">
        <v>26</v>
      </c>
      <c r="E242" s="106"/>
      <c r="F242" s="53">
        <f t="shared" ref="F242:N244" si="51">F243</f>
        <v>394.4</v>
      </c>
      <c r="G242" s="53">
        <f t="shared" si="51"/>
        <v>0</v>
      </c>
      <c r="H242" s="53">
        <f t="shared" si="51"/>
        <v>394.4</v>
      </c>
      <c r="I242" s="54">
        <f t="shared" si="51"/>
        <v>0</v>
      </c>
      <c r="J242" s="87"/>
      <c r="K242" s="54">
        <f t="shared" si="51"/>
        <v>0</v>
      </c>
      <c r="L242" s="53">
        <f t="shared" si="51"/>
        <v>394.4</v>
      </c>
      <c r="M242" s="53">
        <f t="shared" si="51"/>
        <v>0</v>
      </c>
      <c r="N242" s="53">
        <f t="shared" si="51"/>
        <v>394.4</v>
      </c>
      <c r="O242" s="95"/>
      <c r="P242" s="95"/>
    </row>
    <row r="243" spans="1:16" ht="31.5" x14ac:dyDescent="0.2">
      <c r="A243" s="42"/>
      <c r="B243" s="43" t="s">
        <v>286</v>
      </c>
      <c r="C243" s="44" t="s">
        <v>287</v>
      </c>
      <c r="D243" s="45" t="s">
        <v>26</v>
      </c>
      <c r="E243" s="105"/>
      <c r="F243" s="46">
        <f t="shared" si="51"/>
        <v>394.4</v>
      </c>
      <c r="G243" s="46">
        <f t="shared" si="51"/>
        <v>0</v>
      </c>
      <c r="H243" s="46">
        <f t="shared" si="51"/>
        <v>394.4</v>
      </c>
      <c r="I243" s="47">
        <f t="shared" si="51"/>
        <v>0</v>
      </c>
      <c r="J243" s="88"/>
      <c r="K243" s="47">
        <f t="shared" si="51"/>
        <v>0</v>
      </c>
      <c r="L243" s="46">
        <f t="shared" si="51"/>
        <v>394.4</v>
      </c>
      <c r="M243" s="46">
        <f t="shared" si="51"/>
        <v>0</v>
      </c>
      <c r="N243" s="46">
        <f t="shared" si="51"/>
        <v>394.4</v>
      </c>
      <c r="O243" s="94"/>
      <c r="P243" s="94"/>
    </row>
    <row r="244" spans="1:16" ht="15.75" x14ac:dyDescent="0.2">
      <c r="A244" s="42"/>
      <c r="B244" s="43" t="s">
        <v>288</v>
      </c>
      <c r="C244" s="44" t="s">
        <v>289</v>
      </c>
      <c r="D244" s="45" t="s">
        <v>26</v>
      </c>
      <c r="E244" s="105"/>
      <c r="F244" s="46">
        <f t="shared" si="51"/>
        <v>394.4</v>
      </c>
      <c r="G244" s="46">
        <f t="shared" si="51"/>
        <v>0</v>
      </c>
      <c r="H244" s="46">
        <f t="shared" si="51"/>
        <v>394.4</v>
      </c>
      <c r="I244" s="47">
        <f t="shared" si="51"/>
        <v>0</v>
      </c>
      <c r="J244" s="88"/>
      <c r="K244" s="47">
        <f t="shared" si="51"/>
        <v>0</v>
      </c>
      <c r="L244" s="46">
        <f t="shared" si="51"/>
        <v>394.4</v>
      </c>
      <c r="M244" s="46">
        <f t="shared" si="51"/>
        <v>0</v>
      </c>
      <c r="N244" s="46">
        <f t="shared" si="51"/>
        <v>394.4</v>
      </c>
      <c r="O244" s="94"/>
      <c r="P244" s="94"/>
    </row>
    <row r="245" spans="1:16" ht="31.5" x14ac:dyDescent="0.2">
      <c r="A245" s="42"/>
      <c r="B245" s="43" t="s">
        <v>35</v>
      </c>
      <c r="C245" s="44" t="s">
        <v>289</v>
      </c>
      <c r="D245" s="45" t="s">
        <v>36</v>
      </c>
      <c r="E245" s="105"/>
      <c r="F245" s="46">
        <v>394.4</v>
      </c>
      <c r="G245" s="46"/>
      <c r="H245" s="46">
        <v>394.4</v>
      </c>
      <c r="I245" s="47">
        <v>0</v>
      </c>
      <c r="J245" s="88"/>
      <c r="K245" s="47">
        <v>0</v>
      </c>
      <c r="L245" s="46">
        <f>SUM(F245)</f>
        <v>394.4</v>
      </c>
      <c r="M245" s="46">
        <f>SUM(G245)</f>
        <v>0</v>
      </c>
      <c r="N245" s="46">
        <f>SUM(H245)</f>
        <v>394.4</v>
      </c>
      <c r="O245" s="94"/>
      <c r="P245" s="94"/>
    </row>
    <row r="246" spans="1:16" ht="24.6" customHeight="1" x14ac:dyDescent="0.2">
      <c r="A246" s="49"/>
      <c r="B246" s="50" t="s">
        <v>290</v>
      </c>
      <c r="C246" s="51" t="s">
        <v>291</v>
      </c>
      <c r="D246" s="52" t="s">
        <v>26</v>
      </c>
      <c r="E246" s="106"/>
      <c r="F246" s="53">
        <f>F247</f>
        <v>5928.3</v>
      </c>
      <c r="G246" s="53">
        <f>G247</f>
        <v>0</v>
      </c>
      <c r="H246" s="53">
        <f>H247</f>
        <v>5928.3</v>
      </c>
      <c r="I246" s="54">
        <f>I247</f>
        <v>0</v>
      </c>
      <c r="J246" s="87"/>
      <c r="K246" s="54">
        <f>K247</f>
        <v>0</v>
      </c>
      <c r="L246" s="53">
        <f>L247</f>
        <v>5928.3</v>
      </c>
      <c r="M246" s="53">
        <f>M247</f>
        <v>0</v>
      </c>
      <c r="N246" s="53">
        <f>N247</f>
        <v>5928.3</v>
      </c>
      <c r="O246" s="95"/>
      <c r="P246" s="95"/>
    </row>
    <row r="247" spans="1:16" ht="36.6" customHeight="1" x14ac:dyDescent="0.2">
      <c r="A247" s="42"/>
      <c r="B247" s="43" t="s">
        <v>292</v>
      </c>
      <c r="C247" s="44" t="s">
        <v>293</v>
      </c>
      <c r="D247" s="45" t="s">
        <v>26</v>
      </c>
      <c r="E247" s="105"/>
      <c r="F247" s="46">
        <f>F248+F250</f>
        <v>5928.3</v>
      </c>
      <c r="G247" s="46">
        <f>G248+G250</f>
        <v>0</v>
      </c>
      <c r="H247" s="46">
        <f>H248+H250</f>
        <v>5928.3</v>
      </c>
      <c r="I247" s="47">
        <f>I248+I250</f>
        <v>0</v>
      </c>
      <c r="J247" s="88"/>
      <c r="K247" s="47">
        <f>K248+K250</f>
        <v>0</v>
      </c>
      <c r="L247" s="46">
        <f>L248+L250</f>
        <v>5928.3</v>
      </c>
      <c r="M247" s="46">
        <f>M248+M250</f>
        <v>0</v>
      </c>
      <c r="N247" s="46">
        <f>N248+N250</f>
        <v>5928.3</v>
      </c>
      <c r="O247" s="94"/>
      <c r="P247" s="94"/>
    </row>
    <row r="248" spans="1:16" ht="22.15" customHeight="1" x14ac:dyDescent="0.2">
      <c r="A248" s="42"/>
      <c r="B248" s="43" t="s">
        <v>294</v>
      </c>
      <c r="C248" s="44" t="s">
        <v>295</v>
      </c>
      <c r="D248" s="45" t="s">
        <v>26</v>
      </c>
      <c r="E248" s="105"/>
      <c r="F248" s="46">
        <f>F249</f>
        <v>1063.5</v>
      </c>
      <c r="G248" s="46">
        <f>G249</f>
        <v>0</v>
      </c>
      <c r="H248" s="46">
        <f>H249</f>
        <v>1063.5</v>
      </c>
      <c r="I248" s="47">
        <f>I249</f>
        <v>0</v>
      </c>
      <c r="J248" s="88"/>
      <c r="K248" s="47">
        <f>K249</f>
        <v>0</v>
      </c>
      <c r="L248" s="46">
        <f>L249</f>
        <v>1063.5</v>
      </c>
      <c r="M248" s="46">
        <f>M249</f>
        <v>0</v>
      </c>
      <c r="N248" s="46">
        <f>N249</f>
        <v>1063.5</v>
      </c>
      <c r="O248" s="94"/>
      <c r="P248" s="94"/>
    </row>
    <row r="249" spans="1:16" ht="31.5" x14ac:dyDescent="0.2">
      <c r="A249" s="42"/>
      <c r="B249" s="43" t="s">
        <v>35</v>
      </c>
      <c r="C249" s="44" t="s">
        <v>295</v>
      </c>
      <c r="D249" s="45" t="s">
        <v>36</v>
      </c>
      <c r="E249" s="105"/>
      <c r="F249" s="56">
        <v>1063.5</v>
      </c>
      <c r="G249" s="56"/>
      <c r="H249" s="56">
        <v>1063.5</v>
      </c>
      <c r="I249" s="47">
        <v>0</v>
      </c>
      <c r="J249" s="111"/>
      <c r="K249" s="47">
        <v>0</v>
      </c>
      <c r="L249" s="56">
        <f>SUM(F249)</f>
        <v>1063.5</v>
      </c>
      <c r="M249" s="56">
        <f>SUM(G249)</f>
        <v>0</v>
      </c>
      <c r="N249" s="56">
        <f>SUM(H249)</f>
        <v>1063.5</v>
      </c>
      <c r="O249" s="94"/>
      <c r="P249" s="94"/>
    </row>
    <row r="250" spans="1:16" ht="52.15" customHeight="1" x14ac:dyDescent="0.2">
      <c r="A250" s="42"/>
      <c r="B250" s="43" t="s">
        <v>296</v>
      </c>
      <c r="C250" s="44" t="s">
        <v>297</v>
      </c>
      <c r="D250" s="45" t="s">
        <v>26</v>
      </c>
      <c r="E250" s="105"/>
      <c r="F250" s="46">
        <f>F251</f>
        <v>4864.8</v>
      </c>
      <c r="G250" s="46">
        <f>G251</f>
        <v>0</v>
      </c>
      <c r="H250" s="46">
        <f>H251</f>
        <v>4864.8</v>
      </c>
      <c r="I250" s="47">
        <f>I251</f>
        <v>0</v>
      </c>
      <c r="J250" s="88"/>
      <c r="K250" s="47">
        <f>K251</f>
        <v>0</v>
      </c>
      <c r="L250" s="46">
        <f>L251</f>
        <v>4864.8</v>
      </c>
      <c r="M250" s="46">
        <f>M251</f>
        <v>0</v>
      </c>
      <c r="N250" s="46">
        <f>N251</f>
        <v>4864.8</v>
      </c>
      <c r="O250" s="94"/>
      <c r="P250" s="94"/>
    </row>
    <row r="251" spans="1:16" ht="15.75" x14ac:dyDescent="0.2">
      <c r="A251" s="42"/>
      <c r="B251" s="43" t="s">
        <v>278</v>
      </c>
      <c r="C251" s="44" t="s">
        <v>297</v>
      </c>
      <c r="D251" s="45" t="s">
        <v>279</v>
      </c>
      <c r="E251" s="105"/>
      <c r="F251" s="46">
        <v>4864.8</v>
      </c>
      <c r="G251" s="46"/>
      <c r="H251" s="46">
        <v>4864.8</v>
      </c>
      <c r="I251" s="47">
        <v>0</v>
      </c>
      <c r="J251" s="88"/>
      <c r="K251" s="47">
        <v>0</v>
      </c>
      <c r="L251" s="46">
        <v>4864.8</v>
      </c>
      <c r="M251" s="46"/>
      <c r="N251" s="46">
        <v>4864.8</v>
      </c>
      <c r="O251" s="94"/>
      <c r="P251" s="94"/>
    </row>
    <row r="252" spans="1:16" ht="15.75" x14ac:dyDescent="0.2">
      <c r="A252" s="49"/>
      <c r="B252" s="50" t="s">
        <v>298</v>
      </c>
      <c r="C252" s="51" t="s">
        <v>299</v>
      </c>
      <c r="D252" s="52" t="s">
        <v>26</v>
      </c>
      <c r="E252" s="106"/>
      <c r="F252" s="53">
        <f t="shared" ref="F252:N254" si="52">F253</f>
        <v>20</v>
      </c>
      <c r="G252" s="53">
        <f t="shared" si="52"/>
        <v>0</v>
      </c>
      <c r="H252" s="53">
        <f t="shared" si="52"/>
        <v>20</v>
      </c>
      <c r="I252" s="54">
        <f t="shared" si="52"/>
        <v>0</v>
      </c>
      <c r="J252" s="53">
        <f>J253</f>
        <v>0</v>
      </c>
      <c r="K252" s="54">
        <f t="shared" si="52"/>
        <v>0</v>
      </c>
      <c r="L252" s="53">
        <f t="shared" si="52"/>
        <v>20</v>
      </c>
      <c r="M252" s="53">
        <f t="shared" si="52"/>
        <v>0</v>
      </c>
      <c r="N252" s="53">
        <f t="shared" si="52"/>
        <v>20</v>
      </c>
      <c r="O252" s="95"/>
      <c r="P252" s="95"/>
    </row>
    <row r="253" spans="1:16" ht="31.5" x14ac:dyDescent="0.2">
      <c r="A253" s="42"/>
      <c r="B253" s="43" t="s">
        <v>300</v>
      </c>
      <c r="C253" s="44" t="s">
        <v>301</v>
      </c>
      <c r="D253" s="45" t="s">
        <v>26</v>
      </c>
      <c r="E253" s="105"/>
      <c r="F253" s="46">
        <f t="shared" si="52"/>
        <v>20</v>
      </c>
      <c r="G253" s="46">
        <f t="shared" si="52"/>
        <v>0</v>
      </c>
      <c r="H253" s="46">
        <f t="shared" si="52"/>
        <v>20</v>
      </c>
      <c r="I253" s="47">
        <f t="shared" si="52"/>
        <v>0</v>
      </c>
      <c r="J253" s="88"/>
      <c r="K253" s="47">
        <f t="shared" si="52"/>
        <v>0</v>
      </c>
      <c r="L253" s="46">
        <f t="shared" si="52"/>
        <v>20</v>
      </c>
      <c r="M253" s="46">
        <f t="shared" si="52"/>
        <v>0</v>
      </c>
      <c r="N253" s="46">
        <f t="shared" si="52"/>
        <v>20</v>
      </c>
      <c r="O253" s="94"/>
      <c r="P253" s="94"/>
    </row>
    <row r="254" spans="1:16" ht="15.75" x14ac:dyDescent="0.2">
      <c r="A254" s="42"/>
      <c r="B254" s="43" t="s">
        <v>302</v>
      </c>
      <c r="C254" s="44" t="s">
        <v>303</v>
      </c>
      <c r="D254" s="45" t="s">
        <v>26</v>
      </c>
      <c r="E254" s="105"/>
      <c r="F254" s="46">
        <f t="shared" si="52"/>
        <v>20</v>
      </c>
      <c r="G254" s="46">
        <f t="shared" si="52"/>
        <v>0</v>
      </c>
      <c r="H254" s="46">
        <f t="shared" si="52"/>
        <v>20</v>
      </c>
      <c r="I254" s="47">
        <f t="shared" si="52"/>
        <v>0</v>
      </c>
      <c r="J254" s="88"/>
      <c r="K254" s="47">
        <f t="shared" si="52"/>
        <v>0</v>
      </c>
      <c r="L254" s="46">
        <f t="shared" si="52"/>
        <v>20</v>
      </c>
      <c r="M254" s="46">
        <f t="shared" si="52"/>
        <v>0</v>
      </c>
      <c r="N254" s="46">
        <f t="shared" si="52"/>
        <v>20</v>
      </c>
      <c r="O254" s="94"/>
      <c r="P254" s="94"/>
    </row>
    <row r="255" spans="1:16" ht="31.5" x14ac:dyDescent="0.2">
      <c r="A255" s="42"/>
      <c r="B255" s="43" t="s">
        <v>35</v>
      </c>
      <c r="C255" s="44" t="s">
        <v>303</v>
      </c>
      <c r="D255" s="45" t="s">
        <v>36</v>
      </c>
      <c r="E255" s="105"/>
      <c r="F255" s="46">
        <v>20</v>
      </c>
      <c r="G255" s="46"/>
      <c r="H255" s="46">
        <v>20</v>
      </c>
      <c r="I255" s="47">
        <v>0</v>
      </c>
      <c r="J255" s="88"/>
      <c r="K255" s="47">
        <v>0</v>
      </c>
      <c r="L255" s="46">
        <v>20</v>
      </c>
      <c r="M255" s="46"/>
      <c r="N255" s="46">
        <v>20</v>
      </c>
      <c r="O255" s="94"/>
      <c r="P255" s="94"/>
    </row>
    <row r="256" spans="1:16" ht="15.75" x14ac:dyDescent="0.2">
      <c r="A256" s="49"/>
      <c r="B256" s="50" t="s">
        <v>140</v>
      </c>
      <c r="C256" s="51" t="s">
        <v>304</v>
      </c>
      <c r="D256" s="52" t="s">
        <v>26</v>
      </c>
      <c r="E256" s="106"/>
      <c r="F256" s="53">
        <f t="shared" ref="F256:N256" si="53">F257+F260</f>
        <v>3461.5</v>
      </c>
      <c r="G256" s="53">
        <f t="shared" si="53"/>
        <v>0</v>
      </c>
      <c r="H256" s="53">
        <f t="shared" si="53"/>
        <v>3461.5</v>
      </c>
      <c r="I256" s="54">
        <f t="shared" si="53"/>
        <v>0</v>
      </c>
      <c r="J256" s="53">
        <f t="shared" si="53"/>
        <v>0</v>
      </c>
      <c r="K256" s="54">
        <f t="shared" si="53"/>
        <v>0</v>
      </c>
      <c r="L256" s="53">
        <f t="shared" si="53"/>
        <v>3461.5</v>
      </c>
      <c r="M256" s="53">
        <f t="shared" si="53"/>
        <v>0</v>
      </c>
      <c r="N256" s="53">
        <f t="shared" si="53"/>
        <v>3461.5</v>
      </c>
      <c r="O256" s="95"/>
      <c r="P256" s="95"/>
    </row>
    <row r="257" spans="1:16" ht="30.6" customHeight="1" x14ac:dyDescent="0.2">
      <c r="A257" s="42"/>
      <c r="B257" s="43" t="s">
        <v>305</v>
      </c>
      <c r="C257" s="44" t="s">
        <v>306</v>
      </c>
      <c r="D257" s="45" t="s">
        <v>26</v>
      </c>
      <c r="E257" s="105"/>
      <c r="F257" s="46">
        <f t="shared" ref="F257:N258" si="54">F258</f>
        <v>3366.5</v>
      </c>
      <c r="G257" s="46">
        <f t="shared" si="54"/>
        <v>0</v>
      </c>
      <c r="H257" s="46">
        <f t="shared" si="54"/>
        <v>3366.5</v>
      </c>
      <c r="I257" s="47">
        <f t="shared" si="54"/>
        <v>0</v>
      </c>
      <c r="J257" s="88"/>
      <c r="K257" s="47">
        <f t="shared" si="54"/>
        <v>0</v>
      </c>
      <c r="L257" s="46">
        <f t="shared" si="54"/>
        <v>3366.5</v>
      </c>
      <c r="M257" s="46">
        <f t="shared" si="54"/>
        <v>0</v>
      </c>
      <c r="N257" s="46">
        <f t="shared" si="54"/>
        <v>3366.5</v>
      </c>
      <c r="O257" s="94"/>
      <c r="P257" s="94"/>
    </row>
    <row r="258" spans="1:16" ht="63" x14ac:dyDescent="0.2">
      <c r="A258" s="42"/>
      <c r="B258" s="43" t="s">
        <v>307</v>
      </c>
      <c r="C258" s="44" t="s">
        <v>308</v>
      </c>
      <c r="D258" s="45" t="s">
        <v>26</v>
      </c>
      <c r="E258" s="105"/>
      <c r="F258" s="46">
        <f t="shared" si="54"/>
        <v>3366.5</v>
      </c>
      <c r="G258" s="46">
        <f t="shared" si="54"/>
        <v>0</v>
      </c>
      <c r="H258" s="46">
        <f t="shared" si="54"/>
        <v>3366.5</v>
      </c>
      <c r="I258" s="47">
        <f t="shared" si="54"/>
        <v>0</v>
      </c>
      <c r="J258" s="88"/>
      <c r="K258" s="47">
        <f t="shared" si="54"/>
        <v>0</v>
      </c>
      <c r="L258" s="46">
        <f t="shared" si="54"/>
        <v>3366.5</v>
      </c>
      <c r="M258" s="46">
        <f t="shared" si="54"/>
        <v>0</v>
      </c>
      <c r="N258" s="46">
        <f t="shared" si="54"/>
        <v>3366.5</v>
      </c>
      <c r="O258" s="94"/>
      <c r="P258" s="94"/>
    </row>
    <row r="259" spans="1:16" ht="15.75" x14ac:dyDescent="0.2">
      <c r="A259" s="42"/>
      <c r="B259" s="43" t="s">
        <v>278</v>
      </c>
      <c r="C259" s="44" t="s">
        <v>308</v>
      </c>
      <c r="D259" s="45" t="s">
        <v>279</v>
      </c>
      <c r="E259" s="105"/>
      <c r="F259" s="46">
        <v>3366.5</v>
      </c>
      <c r="G259" s="46"/>
      <c r="H259" s="46">
        <v>3366.5</v>
      </c>
      <c r="I259" s="47">
        <v>0</v>
      </c>
      <c r="J259" s="88"/>
      <c r="K259" s="47">
        <v>0</v>
      </c>
      <c r="L259" s="46">
        <v>3366.5</v>
      </c>
      <c r="M259" s="46"/>
      <c r="N259" s="46">
        <v>3366.5</v>
      </c>
      <c r="O259" s="94"/>
      <c r="P259" s="94"/>
    </row>
    <row r="260" spans="1:16" ht="47.25" x14ac:dyDescent="0.2">
      <c r="A260" s="42"/>
      <c r="B260" s="43" t="s">
        <v>309</v>
      </c>
      <c r="C260" s="44" t="s">
        <v>310</v>
      </c>
      <c r="D260" s="45" t="s">
        <v>26</v>
      </c>
      <c r="E260" s="105"/>
      <c r="F260" s="46">
        <f t="shared" ref="F260:N261" si="55">F261</f>
        <v>95</v>
      </c>
      <c r="G260" s="46">
        <f t="shared" si="55"/>
        <v>0</v>
      </c>
      <c r="H260" s="46">
        <f t="shared" si="55"/>
        <v>95</v>
      </c>
      <c r="I260" s="47">
        <f t="shared" si="55"/>
        <v>0</v>
      </c>
      <c r="J260" s="88"/>
      <c r="K260" s="47">
        <f t="shared" si="55"/>
        <v>0</v>
      </c>
      <c r="L260" s="46">
        <f t="shared" si="55"/>
        <v>95</v>
      </c>
      <c r="M260" s="46">
        <f t="shared" si="55"/>
        <v>0</v>
      </c>
      <c r="N260" s="46">
        <f t="shared" si="55"/>
        <v>95</v>
      </c>
      <c r="O260" s="94"/>
      <c r="P260" s="94"/>
    </row>
    <row r="261" spans="1:16" ht="15.75" x14ac:dyDescent="0.2">
      <c r="A261" s="42"/>
      <c r="B261" s="43" t="s">
        <v>311</v>
      </c>
      <c r="C261" s="44" t="s">
        <v>312</v>
      </c>
      <c r="D261" s="45" t="s">
        <v>26</v>
      </c>
      <c r="E261" s="105"/>
      <c r="F261" s="46">
        <f t="shared" si="55"/>
        <v>95</v>
      </c>
      <c r="G261" s="46">
        <f t="shared" si="55"/>
        <v>0</v>
      </c>
      <c r="H261" s="46">
        <f t="shared" si="55"/>
        <v>95</v>
      </c>
      <c r="I261" s="47">
        <f t="shared" si="55"/>
        <v>0</v>
      </c>
      <c r="J261" s="88"/>
      <c r="K261" s="47">
        <f t="shared" si="55"/>
        <v>0</v>
      </c>
      <c r="L261" s="46">
        <f t="shared" si="55"/>
        <v>95</v>
      </c>
      <c r="M261" s="46">
        <f t="shared" si="55"/>
        <v>0</v>
      </c>
      <c r="N261" s="46">
        <f t="shared" si="55"/>
        <v>95</v>
      </c>
      <c r="O261" s="94"/>
      <c r="P261" s="94"/>
    </row>
    <row r="262" spans="1:16" ht="30" customHeight="1" x14ac:dyDescent="0.2">
      <c r="A262" s="42"/>
      <c r="B262" s="43" t="s">
        <v>35</v>
      </c>
      <c r="C262" s="44" t="s">
        <v>312</v>
      </c>
      <c r="D262" s="45" t="s">
        <v>36</v>
      </c>
      <c r="E262" s="105"/>
      <c r="F262" s="46">
        <v>95</v>
      </c>
      <c r="G262" s="46"/>
      <c r="H262" s="46">
        <v>95</v>
      </c>
      <c r="I262" s="47">
        <v>0</v>
      </c>
      <c r="J262" s="88"/>
      <c r="K262" s="47">
        <v>0</v>
      </c>
      <c r="L262" s="46">
        <v>95</v>
      </c>
      <c r="M262" s="46"/>
      <c r="N262" s="46">
        <v>95</v>
      </c>
      <c r="O262" s="94"/>
      <c r="P262" s="94"/>
    </row>
    <row r="263" spans="1:16" ht="31.5" hidden="1" x14ac:dyDescent="0.2">
      <c r="A263" s="42"/>
      <c r="B263" s="43" t="s">
        <v>448</v>
      </c>
      <c r="C263" s="44" t="s">
        <v>422</v>
      </c>
      <c r="D263" s="45"/>
      <c r="E263" s="105"/>
      <c r="F263" s="46"/>
      <c r="G263" s="46"/>
      <c r="H263" s="46">
        <f>SUM(G263)</f>
        <v>0</v>
      </c>
      <c r="I263" s="47"/>
      <c r="J263" s="88"/>
      <c r="K263" s="47"/>
      <c r="L263" s="46"/>
      <c r="M263" s="46">
        <f>SUM(G263)</f>
        <v>0</v>
      </c>
      <c r="N263" s="46">
        <f>SUM(H263)</f>
        <v>0</v>
      </c>
      <c r="O263" s="94"/>
      <c r="P263" s="94"/>
    </row>
    <row r="264" spans="1:16" ht="15.75" hidden="1" x14ac:dyDescent="0.2">
      <c r="A264" s="42"/>
      <c r="B264" s="43" t="s">
        <v>432</v>
      </c>
      <c r="C264" s="44" t="s">
        <v>433</v>
      </c>
      <c r="D264" s="45"/>
      <c r="E264" s="105"/>
      <c r="F264" s="46"/>
      <c r="G264" s="46"/>
      <c r="H264" s="46">
        <f>SUM(G264)</f>
        <v>0</v>
      </c>
      <c r="I264" s="47"/>
      <c r="J264" s="88"/>
      <c r="K264" s="47"/>
      <c r="L264" s="46"/>
      <c r="M264" s="46">
        <f>SUM(G264)</f>
        <v>0</v>
      </c>
      <c r="N264" s="46" t="s">
        <v>447</v>
      </c>
      <c r="O264" s="94"/>
      <c r="P264" s="94"/>
    </row>
    <row r="265" spans="1:16" ht="31.5" hidden="1" x14ac:dyDescent="0.2">
      <c r="A265" s="42"/>
      <c r="B265" s="43" t="s">
        <v>434</v>
      </c>
      <c r="C265" s="44" t="s">
        <v>435</v>
      </c>
      <c r="D265" s="45"/>
      <c r="E265" s="105"/>
      <c r="F265" s="46"/>
      <c r="G265" s="46"/>
      <c r="H265" s="46">
        <f>SUM(G265)</f>
        <v>0</v>
      </c>
      <c r="I265" s="47"/>
      <c r="J265" s="88"/>
      <c r="K265" s="47"/>
      <c r="L265" s="46"/>
      <c r="M265" s="46">
        <f>SUM(G266)</f>
        <v>0</v>
      </c>
      <c r="N265" s="46">
        <f>SUM(H266)</f>
        <v>0</v>
      </c>
      <c r="O265" s="94"/>
      <c r="P265" s="94"/>
    </row>
    <row r="266" spans="1:16" ht="31.5" hidden="1" x14ac:dyDescent="0.2">
      <c r="A266" s="42"/>
      <c r="B266" s="43" t="s">
        <v>35</v>
      </c>
      <c r="C266" s="44" t="s">
        <v>435</v>
      </c>
      <c r="D266" s="45" t="s">
        <v>36</v>
      </c>
      <c r="E266" s="105"/>
      <c r="F266" s="46"/>
      <c r="G266" s="46"/>
      <c r="H266" s="46">
        <f>SUM(G266)</f>
        <v>0</v>
      </c>
      <c r="I266" s="47"/>
      <c r="J266" s="88"/>
      <c r="K266" s="47"/>
      <c r="L266" s="46"/>
      <c r="M266" s="46">
        <f>SUM(G266)</f>
        <v>0</v>
      </c>
      <c r="N266" s="46">
        <f>SUM(H266)</f>
        <v>0</v>
      </c>
      <c r="O266" s="94"/>
      <c r="P266" s="94"/>
    </row>
    <row r="267" spans="1:16" ht="47.25" x14ac:dyDescent="0.2">
      <c r="A267" s="19" t="s">
        <v>313</v>
      </c>
      <c r="B267" s="20" t="s">
        <v>314</v>
      </c>
      <c r="C267" s="21" t="s">
        <v>315</v>
      </c>
      <c r="D267" s="22" t="s">
        <v>26</v>
      </c>
      <c r="E267" s="104"/>
      <c r="F267" s="23">
        <f t="shared" ref="F267:N267" si="56">F268+F275+F279</f>
        <v>5472</v>
      </c>
      <c r="G267" s="23">
        <f t="shared" si="56"/>
        <v>0</v>
      </c>
      <c r="H267" s="23">
        <f t="shared" si="56"/>
        <v>5472</v>
      </c>
      <c r="I267" s="24">
        <f t="shared" si="56"/>
        <v>0</v>
      </c>
      <c r="J267" s="23">
        <f t="shared" si="56"/>
        <v>0</v>
      </c>
      <c r="K267" s="24">
        <f t="shared" si="56"/>
        <v>0</v>
      </c>
      <c r="L267" s="23">
        <f t="shared" si="56"/>
        <v>5472</v>
      </c>
      <c r="M267" s="23">
        <f t="shared" si="56"/>
        <v>0</v>
      </c>
      <c r="N267" s="23">
        <f t="shared" si="56"/>
        <v>5472</v>
      </c>
      <c r="O267" s="93"/>
      <c r="P267" s="93"/>
    </row>
    <row r="268" spans="1:16" ht="31.5" x14ac:dyDescent="0.2">
      <c r="A268" s="49"/>
      <c r="B268" s="50" t="s">
        <v>316</v>
      </c>
      <c r="C268" s="51" t="s">
        <v>317</v>
      </c>
      <c r="D268" s="52" t="s">
        <v>26</v>
      </c>
      <c r="E268" s="106"/>
      <c r="F268" s="53">
        <f t="shared" ref="F268:N268" si="57">F269</f>
        <v>2722</v>
      </c>
      <c r="G268" s="53">
        <f t="shared" si="57"/>
        <v>0</v>
      </c>
      <c r="H268" s="53">
        <f t="shared" si="57"/>
        <v>2722</v>
      </c>
      <c r="I268" s="54">
        <f t="shared" si="57"/>
        <v>0</v>
      </c>
      <c r="J268" s="53">
        <f t="shared" si="57"/>
        <v>0</v>
      </c>
      <c r="K268" s="54">
        <f t="shared" si="57"/>
        <v>0</v>
      </c>
      <c r="L268" s="53">
        <f t="shared" si="57"/>
        <v>2722</v>
      </c>
      <c r="M268" s="53">
        <f t="shared" si="57"/>
        <v>0</v>
      </c>
      <c r="N268" s="53">
        <f t="shared" si="57"/>
        <v>2722</v>
      </c>
      <c r="O268" s="95"/>
      <c r="P268" s="95"/>
    </row>
    <row r="269" spans="1:16" ht="31.5" x14ac:dyDescent="0.2">
      <c r="A269" s="42"/>
      <c r="B269" s="43" t="s">
        <v>318</v>
      </c>
      <c r="C269" s="44" t="s">
        <v>319</v>
      </c>
      <c r="D269" s="45" t="s">
        <v>26</v>
      </c>
      <c r="E269" s="105"/>
      <c r="F269" s="46">
        <f>F270+F272</f>
        <v>2722</v>
      </c>
      <c r="G269" s="46">
        <f>G270+G272</f>
        <v>0</v>
      </c>
      <c r="H269" s="46">
        <f>H270+H272</f>
        <v>2722</v>
      </c>
      <c r="I269" s="47">
        <f>I270+I272</f>
        <v>0</v>
      </c>
      <c r="J269" s="88"/>
      <c r="K269" s="47">
        <f>K270+K272</f>
        <v>0</v>
      </c>
      <c r="L269" s="46">
        <f>L270+L272</f>
        <v>2722</v>
      </c>
      <c r="M269" s="46">
        <f>M270+M272</f>
        <v>0</v>
      </c>
      <c r="N269" s="46">
        <f>N270+N272</f>
        <v>2722</v>
      </c>
      <c r="O269" s="94"/>
      <c r="P269" s="94"/>
    </row>
    <row r="270" spans="1:16" ht="31.5" x14ac:dyDescent="0.2">
      <c r="A270" s="42"/>
      <c r="B270" s="43" t="s">
        <v>316</v>
      </c>
      <c r="C270" s="44" t="s">
        <v>320</v>
      </c>
      <c r="D270" s="45" t="s">
        <v>26</v>
      </c>
      <c r="E270" s="105"/>
      <c r="F270" s="46">
        <f>F271</f>
        <v>2412</v>
      </c>
      <c r="G270" s="46">
        <f>G271</f>
        <v>0</v>
      </c>
      <c r="H270" s="46">
        <f>H271</f>
        <v>2412</v>
      </c>
      <c r="I270" s="47">
        <f>I271</f>
        <v>0</v>
      </c>
      <c r="J270" s="88"/>
      <c r="K270" s="47">
        <f>K271</f>
        <v>0</v>
      </c>
      <c r="L270" s="46">
        <f>L271</f>
        <v>2412</v>
      </c>
      <c r="M270" s="46">
        <f>M271</f>
        <v>0</v>
      </c>
      <c r="N270" s="46">
        <f>N271</f>
        <v>2412</v>
      </c>
      <c r="O270" s="94"/>
      <c r="P270" s="94"/>
    </row>
    <row r="271" spans="1:16" ht="15.75" x14ac:dyDescent="0.2">
      <c r="A271" s="42"/>
      <c r="B271" s="43" t="s">
        <v>54</v>
      </c>
      <c r="C271" s="44" t="s">
        <v>320</v>
      </c>
      <c r="D271" s="45" t="s">
        <v>55</v>
      </c>
      <c r="E271" s="105"/>
      <c r="F271" s="46">
        <v>2412</v>
      </c>
      <c r="G271" s="46"/>
      <c r="H271" s="46">
        <v>2412</v>
      </c>
      <c r="I271" s="47">
        <v>0</v>
      </c>
      <c r="J271" s="88"/>
      <c r="K271" s="47">
        <v>0</v>
      </c>
      <c r="L271" s="46">
        <v>2412</v>
      </c>
      <c r="M271" s="46"/>
      <c r="N271" s="46">
        <v>2412</v>
      </c>
      <c r="O271" s="94"/>
      <c r="P271" s="94"/>
    </row>
    <row r="272" spans="1:16" ht="31.5" x14ac:dyDescent="0.2">
      <c r="A272" s="42"/>
      <c r="B272" s="43" t="s">
        <v>321</v>
      </c>
      <c r="C272" s="44" t="s">
        <v>322</v>
      </c>
      <c r="D272" s="45" t="s">
        <v>26</v>
      </c>
      <c r="E272" s="105"/>
      <c r="F272" s="46">
        <f>F273+F274</f>
        <v>310</v>
      </c>
      <c r="G272" s="46">
        <f>G273+G274</f>
        <v>0</v>
      </c>
      <c r="H272" s="46">
        <f>H273+H274</f>
        <v>310</v>
      </c>
      <c r="I272" s="47">
        <f>I273+I274</f>
        <v>0</v>
      </c>
      <c r="J272" s="88"/>
      <c r="K272" s="47">
        <f>K273+K274</f>
        <v>0</v>
      </c>
      <c r="L272" s="46">
        <f>L273+L274</f>
        <v>310</v>
      </c>
      <c r="M272" s="46">
        <f>M273+M274</f>
        <v>0</v>
      </c>
      <c r="N272" s="46">
        <f>N273+N274</f>
        <v>310</v>
      </c>
      <c r="O272" s="94"/>
      <c r="P272" s="94"/>
    </row>
    <row r="273" spans="1:16" ht="31.5" x14ac:dyDescent="0.2">
      <c r="A273" s="42"/>
      <c r="B273" s="43" t="s">
        <v>35</v>
      </c>
      <c r="C273" s="44" t="s">
        <v>322</v>
      </c>
      <c r="D273" s="45" t="s">
        <v>36</v>
      </c>
      <c r="E273" s="105"/>
      <c r="F273" s="46">
        <v>300</v>
      </c>
      <c r="G273" s="46"/>
      <c r="H273" s="46">
        <v>300</v>
      </c>
      <c r="I273" s="47">
        <v>0</v>
      </c>
      <c r="J273" s="88"/>
      <c r="K273" s="47">
        <v>0</v>
      </c>
      <c r="L273" s="46">
        <v>300</v>
      </c>
      <c r="M273" s="46"/>
      <c r="N273" s="46">
        <v>300</v>
      </c>
      <c r="O273" s="94"/>
      <c r="P273" s="94"/>
    </row>
    <row r="274" spans="1:16" ht="15.75" x14ac:dyDescent="0.2">
      <c r="A274" s="42"/>
      <c r="B274" s="43" t="s">
        <v>54</v>
      </c>
      <c r="C274" s="44" t="s">
        <v>322</v>
      </c>
      <c r="D274" s="45" t="s">
        <v>55</v>
      </c>
      <c r="E274" s="105"/>
      <c r="F274" s="46">
        <v>10</v>
      </c>
      <c r="G274" s="46"/>
      <c r="H274" s="46">
        <v>10</v>
      </c>
      <c r="I274" s="47">
        <v>0</v>
      </c>
      <c r="J274" s="88"/>
      <c r="K274" s="47">
        <v>0</v>
      </c>
      <c r="L274" s="46">
        <v>10</v>
      </c>
      <c r="M274" s="46"/>
      <c r="N274" s="46">
        <v>10</v>
      </c>
      <c r="O274" s="94"/>
      <c r="P274" s="94"/>
    </row>
    <row r="275" spans="1:16" ht="31.5" x14ac:dyDescent="0.2">
      <c r="A275" s="49"/>
      <c r="B275" s="50" t="s">
        <v>323</v>
      </c>
      <c r="C275" s="51" t="s">
        <v>324</v>
      </c>
      <c r="D275" s="52" t="s">
        <v>26</v>
      </c>
      <c r="E275" s="106"/>
      <c r="F275" s="53">
        <f t="shared" ref="F275:N277" si="58">F276</f>
        <v>150</v>
      </c>
      <c r="G275" s="53">
        <f t="shared" si="58"/>
        <v>0</v>
      </c>
      <c r="H275" s="53">
        <f t="shared" si="58"/>
        <v>150</v>
      </c>
      <c r="I275" s="54">
        <f t="shared" si="58"/>
        <v>0</v>
      </c>
      <c r="J275" s="53">
        <f>J276</f>
        <v>0</v>
      </c>
      <c r="K275" s="54">
        <f t="shared" si="58"/>
        <v>0</v>
      </c>
      <c r="L275" s="53">
        <f t="shared" si="58"/>
        <v>150</v>
      </c>
      <c r="M275" s="53">
        <f t="shared" si="58"/>
        <v>0</v>
      </c>
      <c r="N275" s="53">
        <f t="shared" si="58"/>
        <v>150</v>
      </c>
      <c r="O275" s="95"/>
      <c r="P275" s="95"/>
    </row>
    <row r="276" spans="1:16" ht="47.25" x14ac:dyDescent="0.2">
      <c r="A276" s="42"/>
      <c r="B276" s="43" t="s">
        <v>325</v>
      </c>
      <c r="C276" s="44" t="s">
        <v>326</v>
      </c>
      <c r="D276" s="45" t="s">
        <v>26</v>
      </c>
      <c r="E276" s="105"/>
      <c r="F276" s="46">
        <f t="shared" si="58"/>
        <v>150</v>
      </c>
      <c r="G276" s="46">
        <f t="shared" si="58"/>
        <v>0</v>
      </c>
      <c r="H276" s="46">
        <f t="shared" si="58"/>
        <v>150</v>
      </c>
      <c r="I276" s="47">
        <f t="shared" si="58"/>
        <v>0</v>
      </c>
      <c r="J276" s="88"/>
      <c r="K276" s="47">
        <f t="shared" si="58"/>
        <v>0</v>
      </c>
      <c r="L276" s="46">
        <f t="shared" si="58"/>
        <v>150</v>
      </c>
      <c r="M276" s="46">
        <f t="shared" si="58"/>
        <v>0</v>
      </c>
      <c r="N276" s="46">
        <f t="shared" si="58"/>
        <v>150</v>
      </c>
      <c r="O276" s="94"/>
      <c r="P276" s="94"/>
    </row>
    <row r="277" spans="1:16" ht="33" customHeight="1" x14ac:dyDescent="0.2">
      <c r="A277" s="42"/>
      <c r="B277" s="43" t="s">
        <v>327</v>
      </c>
      <c r="C277" s="44" t="s">
        <v>328</v>
      </c>
      <c r="D277" s="45" t="s">
        <v>26</v>
      </c>
      <c r="E277" s="105"/>
      <c r="F277" s="46">
        <f t="shared" si="58"/>
        <v>150</v>
      </c>
      <c r="G277" s="46">
        <f t="shared" si="58"/>
        <v>0</v>
      </c>
      <c r="H277" s="46">
        <f t="shared" si="58"/>
        <v>150</v>
      </c>
      <c r="I277" s="47">
        <f t="shared" si="58"/>
        <v>0</v>
      </c>
      <c r="J277" s="88"/>
      <c r="K277" s="47">
        <f t="shared" si="58"/>
        <v>0</v>
      </c>
      <c r="L277" s="46">
        <f t="shared" si="58"/>
        <v>150</v>
      </c>
      <c r="M277" s="46">
        <f t="shared" si="58"/>
        <v>0</v>
      </c>
      <c r="N277" s="46">
        <f t="shared" si="58"/>
        <v>150</v>
      </c>
      <c r="O277" s="94"/>
      <c r="P277" s="94"/>
    </row>
    <row r="278" spans="1:16" ht="31.5" x14ac:dyDescent="0.2">
      <c r="A278" s="42"/>
      <c r="B278" s="43" t="s">
        <v>35</v>
      </c>
      <c r="C278" s="44" t="s">
        <v>328</v>
      </c>
      <c r="D278" s="45" t="s">
        <v>36</v>
      </c>
      <c r="E278" s="105"/>
      <c r="F278" s="46">
        <v>150</v>
      </c>
      <c r="G278" s="46"/>
      <c r="H278" s="46">
        <v>150</v>
      </c>
      <c r="I278" s="47">
        <v>0</v>
      </c>
      <c r="J278" s="88"/>
      <c r="K278" s="47">
        <v>0</v>
      </c>
      <c r="L278" s="46">
        <v>150</v>
      </c>
      <c r="M278" s="46"/>
      <c r="N278" s="46">
        <v>150</v>
      </c>
      <c r="O278" s="94"/>
      <c r="P278" s="94"/>
    </row>
    <row r="279" spans="1:16" ht="31.5" x14ac:dyDescent="0.2">
      <c r="A279" s="49"/>
      <c r="B279" s="50" t="s">
        <v>329</v>
      </c>
      <c r="C279" s="51" t="s">
        <v>330</v>
      </c>
      <c r="D279" s="52" t="s">
        <v>26</v>
      </c>
      <c r="E279" s="106"/>
      <c r="F279" s="53">
        <f t="shared" ref="F279:N280" si="59">F280</f>
        <v>2600</v>
      </c>
      <c r="G279" s="53">
        <f t="shared" si="59"/>
        <v>0</v>
      </c>
      <c r="H279" s="53">
        <f t="shared" si="59"/>
        <v>2600</v>
      </c>
      <c r="I279" s="54">
        <f t="shared" si="59"/>
        <v>0</v>
      </c>
      <c r="J279" s="53">
        <f t="shared" si="59"/>
        <v>0</v>
      </c>
      <c r="K279" s="54">
        <f t="shared" si="59"/>
        <v>0</v>
      </c>
      <c r="L279" s="53">
        <f t="shared" si="59"/>
        <v>2600</v>
      </c>
      <c r="M279" s="53">
        <f t="shared" si="59"/>
        <v>0</v>
      </c>
      <c r="N279" s="53">
        <f t="shared" si="59"/>
        <v>2600</v>
      </c>
      <c r="O279" s="95"/>
      <c r="P279" s="95"/>
    </row>
    <row r="280" spans="1:16" ht="96" customHeight="1" x14ac:dyDescent="0.2">
      <c r="A280" s="42"/>
      <c r="B280" s="126" t="s">
        <v>331</v>
      </c>
      <c r="C280" s="44" t="s">
        <v>332</v>
      </c>
      <c r="D280" s="45" t="s">
        <v>26</v>
      </c>
      <c r="E280" s="105"/>
      <c r="F280" s="46">
        <f t="shared" si="59"/>
        <v>2600</v>
      </c>
      <c r="G280" s="46">
        <f t="shared" si="59"/>
        <v>0</v>
      </c>
      <c r="H280" s="46">
        <f t="shared" si="59"/>
        <v>2600</v>
      </c>
      <c r="I280" s="47">
        <f t="shared" si="59"/>
        <v>0</v>
      </c>
      <c r="J280" s="88"/>
      <c r="K280" s="47">
        <f t="shared" si="59"/>
        <v>0</v>
      </c>
      <c r="L280" s="46">
        <f t="shared" si="59"/>
        <v>2600</v>
      </c>
      <c r="M280" s="46">
        <f t="shared" si="59"/>
        <v>0</v>
      </c>
      <c r="N280" s="46">
        <f t="shared" si="59"/>
        <v>2600</v>
      </c>
      <c r="O280" s="94"/>
      <c r="P280" s="94"/>
    </row>
    <row r="281" spans="1:16" ht="31.5" x14ac:dyDescent="0.2">
      <c r="A281" s="42"/>
      <c r="B281" s="43" t="s">
        <v>333</v>
      </c>
      <c r="C281" s="44" t="s">
        <v>334</v>
      </c>
      <c r="D281" s="45" t="s">
        <v>26</v>
      </c>
      <c r="E281" s="105"/>
      <c r="F281" s="46">
        <f>F282+F283</f>
        <v>2600</v>
      </c>
      <c r="G281" s="46">
        <f>G282+G283</f>
        <v>0</v>
      </c>
      <c r="H281" s="46">
        <f>H282+H283</f>
        <v>2600</v>
      </c>
      <c r="I281" s="47">
        <f>I282+I283</f>
        <v>0</v>
      </c>
      <c r="J281" s="88"/>
      <c r="K281" s="47">
        <f>K282+K283</f>
        <v>0</v>
      </c>
      <c r="L281" s="46">
        <f>L282+L283</f>
        <v>2600</v>
      </c>
      <c r="M281" s="46">
        <f>M282+M283</f>
        <v>0</v>
      </c>
      <c r="N281" s="46">
        <f>N282+N283</f>
        <v>2600</v>
      </c>
      <c r="O281" s="94"/>
      <c r="P281" s="94"/>
    </row>
    <row r="282" spans="1:16" ht="31.5" x14ac:dyDescent="0.2">
      <c r="A282" s="42"/>
      <c r="B282" s="43" t="s">
        <v>35</v>
      </c>
      <c r="C282" s="44" t="s">
        <v>334</v>
      </c>
      <c r="D282" s="45" t="s">
        <v>36</v>
      </c>
      <c r="E282" s="105"/>
      <c r="F282" s="46">
        <v>2536.8000000000002</v>
      </c>
      <c r="G282" s="46"/>
      <c r="H282" s="46">
        <v>2536.8000000000002</v>
      </c>
      <c r="I282" s="47">
        <v>0</v>
      </c>
      <c r="J282" s="88"/>
      <c r="K282" s="47">
        <v>0</v>
      </c>
      <c r="L282" s="46">
        <v>2536.8000000000002</v>
      </c>
      <c r="M282" s="46"/>
      <c r="N282" s="46">
        <v>2536.8000000000002</v>
      </c>
      <c r="O282" s="94"/>
      <c r="P282" s="94"/>
    </row>
    <row r="283" spans="1:16" ht="15.75" x14ac:dyDescent="0.2">
      <c r="A283" s="42"/>
      <c r="B283" s="43" t="s">
        <v>41</v>
      </c>
      <c r="C283" s="44" t="s">
        <v>334</v>
      </c>
      <c r="D283" s="45" t="s">
        <v>42</v>
      </c>
      <c r="E283" s="105"/>
      <c r="F283" s="46">
        <v>63.2</v>
      </c>
      <c r="G283" s="46"/>
      <c r="H283" s="46">
        <v>63.2</v>
      </c>
      <c r="I283" s="47">
        <v>0</v>
      </c>
      <c r="J283" s="88"/>
      <c r="K283" s="47">
        <v>0</v>
      </c>
      <c r="L283" s="46">
        <v>63.2</v>
      </c>
      <c r="M283" s="46"/>
      <c r="N283" s="46">
        <v>63.2</v>
      </c>
      <c r="O283" s="94"/>
      <c r="P283" s="94"/>
    </row>
    <row r="284" spans="1:16" ht="31.5" x14ac:dyDescent="0.2">
      <c r="A284" s="19" t="s">
        <v>335</v>
      </c>
      <c r="B284" s="20" t="s">
        <v>336</v>
      </c>
      <c r="C284" s="21" t="s">
        <v>337</v>
      </c>
      <c r="D284" s="22" t="s">
        <v>26</v>
      </c>
      <c r="E284" s="104"/>
      <c r="F284" s="23">
        <f>F285+F295+F292</f>
        <v>35901.800000000003</v>
      </c>
      <c r="G284" s="23">
        <f>G285+G295+G292</f>
        <v>800</v>
      </c>
      <c r="H284" s="23">
        <f>H285+H295+H292</f>
        <v>36701.800000000003</v>
      </c>
      <c r="I284" s="24">
        <f t="shared" ref="F284:N285" si="60">I285</f>
        <v>119390.6</v>
      </c>
      <c r="J284" s="23">
        <f>J285+J295</f>
        <v>0</v>
      </c>
      <c r="K284" s="24">
        <f t="shared" si="60"/>
        <v>119390.6</v>
      </c>
      <c r="L284" s="23">
        <f>L285+L295+L292</f>
        <v>155292.40000000002</v>
      </c>
      <c r="M284" s="23">
        <f>M285+M295+M292</f>
        <v>800</v>
      </c>
      <c r="N284" s="23">
        <f>N285+N295+N292</f>
        <v>156092.40000000002</v>
      </c>
      <c r="O284" s="93"/>
      <c r="P284" s="93"/>
    </row>
    <row r="285" spans="1:16" ht="15.75" x14ac:dyDescent="0.2">
      <c r="A285" s="49"/>
      <c r="B285" s="50" t="s">
        <v>338</v>
      </c>
      <c r="C285" s="51" t="s">
        <v>339</v>
      </c>
      <c r="D285" s="52" t="s">
        <v>26</v>
      </c>
      <c r="E285" s="106"/>
      <c r="F285" s="53">
        <f t="shared" si="60"/>
        <v>25835.800000000003</v>
      </c>
      <c r="G285" s="53">
        <f t="shared" si="60"/>
        <v>540</v>
      </c>
      <c r="H285" s="53">
        <f t="shared" si="60"/>
        <v>26375.800000000003</v>
      </c>
      <c r="I285" s="54">
        <f t="shared" si="60"/>
        <v>119390.6</v>
      </c>
      <c r="J285" s="53">
        <f t="shared" si="60"/>
        <v>0</v>
      </c>
      <c r="K285" s="54">
        <f t="shared" si="60"/>
        <v>119390.6</v>
      </c>
      <c r="L285" s="53">
        <f t="shared" si="60"/>
        <v>145226.40000000002</v>
      </c>
      <c r="M285" s="53">
        <f t="shared" si="60"/>
        <v>540</v>
      </c>
      <c r="N285" s="53">
        <f t="shared" si="60"/>
        <v>145766.40000000002</v>
      </c>
      <c r="O285" s="95"/>
      <c r="P285" s="95"/>
    </row>
    <row r="286" spans="1:16" ht="47.25" x14ac:dyDescent="0.2">
      <c r="A286" s="42"/>
      <c r="B286" s="43" t="s">
        <v>340</v>
      </c>
      <c r="C286" s="44" t="s">
        <v>341</v>
      </c>
      <c r="D286" s="45" t="s">
        <v>26</v>
      </c>
      <c r="E286" s="105"/>
      <c r="F286" s="46">
        <f>F287+F290</f>
        <v>25835.800000000003</v>
      </c>
      <c r="G286" s="46">
        <f>G287+G290</f>
        <v>540</v>
      </c>
      <c r="H286" s="46">
        <f>H287+H290</f>
        <v>26375.800000000003</v>
      </c>
      <c r="I286" s="47">
        <f>I287+I290</f>
        <v>119390.6</v>
      </c>
      <c r="J286" s="88">
        <f>SUM(J290)</f>
        <v>0</v>
      </c>
      <c r="K286" s="47">
        <f>K287+K290</f>
        <v>119390.6</v>
      </c>
      <c r="L286" s="46">
        <f>L287+L290</f>
        <v>145226.40000000002</v>
      </c>
      <c r="M286" s="46">
        <f>M287+M290</f>
        <v>540</v>
      </c>
      <c r="N286" s="46">
        <f>N287+N290</f>
        <v>145766.40000000002</v>
      </c>
      <c r="O286" s="94"/>
      <c r="P286" s="94"/>
    </row>
    <row r="287" spans="1:16" ht="36" customHeight="1" x14ac:dyDescent="0.2">
      <c r="A287" s="42"/>
      <c r="B287" s="43" t="s">
        <v>342</v>
      </c>
      <c r="C287" s="44" t="s">
        <v>343</v>
      </c>
      <c r="D287" s="45" t="s">
        <v>26</v>
      </c>
      <c r="E287" s="105"/>
      <c r="F287" s="46">
        <f>F288+F289</f>
        <v>6983.6</v>
      </c>
      <c r="G287" s="46">
        <f>G288+G289</f>
        <v>540</v>
      </c>
      <c r="H287" s="46">
        <f>H288+H289</f>
        <v>7523.6</v>
      </c>
      <c r="I287" s="47">
        <f>I288+I289</f>
        <v>0</v>
      </c>
      <c r="J287" s="88"/>
      <c r="K287" s="47">
        <f>K288+K289</f>
        <v>0</v>
      </c>
      <c r="L287" s="46">
        <f>L288+L289</f>
        <v>6983.6</v>
      </c>
      <c r="M287" s="46">
        <f>M288+M289</f>
        <v>540</v>
      </c>
      <c r="N287" s="46">
        <f>N288+N289</f>
        <v>7523.6</v>
      </c>
      <c r="O287" s="94"/>
      <c r="P287" s="94"/>
    </row>
    <row r="288" spans="1:16" ht="31.5" x14ac:dyDescent="0.2">
      <c r="A288" s="42"/>
      <c r="B288" s="43" t="s">
        <v>35</v>
      </c>
      <c r="C288" s="44" t="s">
        <v>343</v>
      </c>
      <c r="D288" s="45" t="s">
        <v>36</v>
      </c>
      <c r="E288" s="105"/>
      <c r="F288" s="46">
        <v>1738</v>
      </c>
      <c r="G288" s="46"/>
      <c r="H288" s="46">
        <v>1738</v>
      </c>
      <c r="I288" s="47">
        <v>0</v>
      </c>
      <c r="J288" s="88"/>
      <c r="K288" s="47">
        <v>0</v>
      </c>
      <c r="L288" s="46">
        <f t="shared" ref="L288:N289" si="61">SUM(F288)</f>
        <v>1738</v>
      </c>
      <c r="M288" s="71">
        <f t="shared" si="61"/>
        <v>0</v>
      </c>
      <c r="N288" s="71">
        <f t="shared" si="61"/>
        <v>1738</v>
      </c>
      <c r="O288" s="94"/>
      <c r="P288" s="94"/>
    </row>
    <row r="289" spans="1:17" ht="31.5" x14ac:dyDescent="0.2">
      <c r="A289" s="42"/>
      <c r="B289" s="43" t="s">
        <v>131</v>
      </c>
      <c r="C289" s="44" t="s">
        <v>343</v>
      </c>
      <c r="D289" s="45" t="s">
        <v>132</v>
      </c>
      <c r="E289" s="105"/>
      <c r="F289" s="71">
        <v>5245.6</v>
      </c>
      <c r="G289" s="71">
        <v>540</v>
      </c>
      <c r="H289" s="71">
        <f>5785.6</f>
        <v>5785.6</v>
      </c>
      <c r="I289" s="47">
        <v>0</v>
      </c>
      <c r="J289" s="114"/>
      <c r="K289" s="47">
        <v>0</v>
      </c>
      <c r="L289" s="71">
        <f t="shared" si="61"/>
        <v>5245.6</v>
      </c>
      <c r="M289" s="71">
        <f t="shared" si="61"/>
        <v>540</v>
      </c>
      <c r="N289" s="71">
        <f t="shared" si="61"/>
        <v>5785.6</v>
      </c>
      <c r="O289" s="94"/>
      <c r="P289" s="94"/>
    </row>
    <row r="290" spans="1:17" ht="15.75" x14ac:dyDescent="0.2">
      <c r="A290" s="42"/>
      <c r="B290" s="43" t="s">
        <v>344</v>
      </c>
      <c r="C290" s="44" t="s">
        <v>345</v>
      </c>
      <c r="D290" s="45" t="s">
        <v>26</v>
      </c>
      <c r="E290" s="105"/>
      <c r="F290" s="46">
        <f>F291</f>
        <v>18852.2</v>
      </c>
      <c r="G290" s="46">
        <f>G291</f>
        <v>0</v>
      </c>
      <c r="H290" s="46">
        <f>H291</f>
        <v>18852.2</v>
      </c>
      <c r="I290" s="47">
        <f>I291</f>
        <v>119390.6</v>
      </c>
      <c r="J290" s="113"/>
      <c r="K290" s="47">
        <f>K291</f>
        <v>119390.6</v>
      </c>
      <c r="L290" s="46">
        <f>L291</f>
        <v>138242.80000000002</v>
      </c>
      <c r="M290" s="46">
        <f>M291</f>
        <v>0</v>
      </c>
      <c r="N290" s="46">
        <f>N291</f>
        <v>138242.80000000002</v>
      </c>
      <c r="O290" s="94"/>
      <c r="P290" s="94"/>
    </row>
    <row r="291" spans="1:17" ht="31.5" x14ac:dyDescent="0.2">
      <c r="A291" s="42"/>
      <c r="B291" s="43" t="s">
        <v>131</v>
      </c>
      <c r="C291" s="44" t="s">
        <v>345</v>
      </c>
      <c r="D291" s="45" t="s">
        <v>132</v>
      </c>
      <c r="E291" s="105"/>
      <c r="F291" s="77">
        <v>18852.2</v>
      </c>
      <c r="G291" s="77"/>
      <c r="H291" s="77">
        <v>18852.2</v>
      </c>
      <c r="I291" s="47">
        <v>119390.6</v>
      </c>
      <c r="J291" s="113"/>
      <c r="K291" s="47">
        <f>SUM(I291)</f>
        <v>119390.6</v>
      </c>
      <c r="L291" s="77">
        <f>SUM(F291)+I291</f>
        <v>138242.80000000002</v>
      </c>
      <c r="M291" s="77">
        <f>SUM(G291)+J291</f>
        <v>0</v>
      </c>
      <c r="N291" s="77">
        <f>SUM(H291)+K291</f>
        <v>138242.80000000002</v>
      </c>
      <c r="O291" s="94"/>
      <c r="P291" s="94"/>
    </row>
    <row r="292" spans="1:17" ht="15.75" x14ac:dyDescent="0.2">
      <c r="A292" s="42"/>
      <c r="B292" s="43" t="s">
        <v>346</v>
      </c>
      <c r="C292" s="44" t="s">
        <v>347</v>
      </c>
      <c r="D292" s="45"/>
      <c r="E292" s="105"/>
      <c r="F292" s="77">
        <v>8102</v>
      </c>
      <c r="G292" s="77">
        <f>SUM(G294)</f>
        <v>0</v>
      </c>
      <c r="H292" s="77">
        <f>SUM(F292)</f>
        <v>8102</v>
      </c>
      <c r="I292" s="47"/>
      <c r="J292" s="113"/>
      <c r="K292" s="47"/>
      <c r="L292" s="77">
        <f>SUM(F292)</f>
        <v>8102</v>
      </c>
      <c r="M292" s="77">
        <f>SUM(G292)</f>
        <v>0</v>
      </c>
      <c r="N292" s="77">
        <f>SUM(H292)</f>
        <v>8102</v>
      </c>
      <c r="O292" s="94"/>
      <c r="P292" s="94"/>
    </row>
    <row r="293" spans="1:17" ht="1.5" customHeight="1" x14ac:dyDescent="0.2">
      <c r="A293" s="42"/>
      <c r="B293" s="43"/>
      <c r="C293" s="44"/>
      <c r="D293" s="45"/>
      <c r="E293" s="105"/>
      <c r="F293" s="77"/>
      <c r="G293" s="77">
        <f>SUM(G294)</f>
        <v>0</v>
      </c>
      <c r="H293" s="77">
        <f>SUM(G293)</f>
        <v>0</v>
      </c>
      <c r="I293" s="47"/>
      <c r="J293" s="113"/>
      <c r="K293" s="47"/>
      <c r="L293" s="77"/>
      <c r="M293" s="77">
        <f>SUM(G293)</f>
        <v>0</v>
      </c>
      <c r="N293" s="77">
        <f>SUM(M293)</f>
        <v>0</v>
      </c>
      <c r="O293" s="94"/>
      <c r="P293" s="94"/>
    </row>
    <row r="294" spans="1:17" ht="31.5" x14ac:dyDescent="0.2">
      <c r="A294" s="42"/>
      <c r="B294" s="43" t="s">
        <v>131</v>
      </c>
      <c r="C294" s="44" t="s">
        <v>347</v>
      </c>
      <c r="D294" s="45" t="s">
        <v>132</v>
      </c>
      <c r="E294" s="105"/>
      <c r="F294" s="77">
        <v>8102</v>
      </c>
      <c r="G294" s="77"/>
      <c r="H294" s="77">
        <f>SUM(F294)</f>
        <v>8102</v>
      </c>
      <c r="I294" s="47"/>
      <c r="J294" s="113"/>
      <c r="K294" s="47"/>
      <c r="L294" s="77">
        <f>SUM(F294)</f>
        <v>8102</v>
      </c>
      <c r="M294" s="77">
        <f>SUM(G294)</f>
        <v>0</v>
      </c>
      <c r="N294" s="77">
        <f>SUM(H294)</f>
        <v>8102</v>
      </c>
      <c r="O294" s="94"/>
      <c r="P294" s="94"/>
    </row>
    <row r="295" spans="1:17" ht="15.75" x14ac:dyDescent="0.2">
      <c r="A295" s="42"/>
      <c r="B295" s="50" t="s">
        <v>348</v>
      </c>
      <c r="C295" s="51" t="s">
        <v>349</v>
      </c>
      <c r="D295" s="52"/>
      <c r="E295" s="106"/>
      <c r="F295" s="53">
        <f>SUM(F297)</f>
        <v>1964</v>
      </c>
      <c r="G295" s="53">
        <f>SUM(G297)</f>
        <v>260</v>
      </c>
      <c r="H295" s="53">
        <f>SUM(H297)</f>
        <v>2224</v>
      </c>
      <c r="I295" s="54"/>
      <c r="J295" s="53">
        <f>SUM(J297)</f>
        <v>0</v>
      </c>
      <c r="K295" s="54"/>
      <c r="L295" s="53">
        <f>SUM(L297)</f>
        <v>1964</v>
      </c>
      <c r="M295" s="53">
        <f>SUM(M297)</f>
        <v>260</v>
      </c>
      <c r="N295" s="53">
        <f>SUM(N297)</f>
        <v>2224</v>
      </c>
      <c r="O295" s="95"/>
      <c r="P295" s="95"/>
    </row>
    <row r="296" spans="1:17" ht="47.25" x14ac:dyDescent="0.2">
      <c r="A296" s="42"/>
      <c r="B296" s="43" t="s">
        <v>350</v>
      </c>
      <c r="C296" s="44" t="s">
        <v>351</v>
      </c>
      <c r="D296" s="45"/>
      <c r="E296" s="105"/>
      <c r="F296" s="46">
        <f>SUM(F297)</f>
        <v>1964</v>
      </c>
      <c r="G296" s="46">
        <f>SUM(G297)</f>
        <v>260</v>
      </c>
      <c r="H296" s="46">
        <f>SUM(H297)</f>
        <v>2224</v>
      </c>
      <c r="I296" s="47"/>
      <c r="J296" s="88"/>
      <c r="K296" s="47"/>
      <c r="L296" s="46">
        <f>SUM(L297)</f>
        <v>1964</v>
      </c>
      <c r="M296" s="46">
        <f>SUM(M297)</f>
        <v>260</v>
      </c>
      <c r="N296" s="46">
        <f>SUM(N297)</f>
        <v>2224</v>
      </c>
      <c r="O296" s="94"/>
      <c r="P296" s="94"/>
    </row>
    <row r="297" spans="1:17" ht="15.75" x14ac:dyDescent="0.2">
      <c r="A297" s="42"/>
      <c r="B297" s="43" t="s">
        <v>348</v>
      </c>
      <c r="C297" s="44" t="s">
        <v>352</v>
      </c>
      <c r="D297" s="45"/>
      <c r="E297" s="105"/>
      <c r="F297" s="46">
        <v>1964</v>
      </c>
      <c r="G297" s="46">
        <v>260</v>
      </c>
      <c r="H297" s="46">
        <f>1964+G297</f>
        <v>2224</v>
      </c>
      <c r="I297" s="47"/>
      <c r="J297" s="88"/>
      <c r="K297" s="47"/>
      <c r="L297" s="46">
        <v>1964</v>
      </c>
      <c r="M297" s="46">
        <f>SUM(G297)</f>
        <v>260</v>
      </c>
      <c r="N297" s="46">
        <f>1964+M297</f>
        <v>2224</v>
      </c>
      <c r="O297" s="94"/>
      <c r="P297" s="94"/>
    </row>
    <row r="298" spans="1:17" ht="31.5" x14ac:dyDescent="0.2">
      <c r="A298" s="42"/>
      <c r="B298" s="43" t="s">
        <v>35</v>
      </c>
      <c r="C298" s="44" t="s">
        <v>352</v>
      </c>
      <c r="D298" s="45" t="s">
        <v>36</v>
      </c>
      <c r="E298" s="105"/>
      <c r="F298" s="46"/>
      <c r="G298" s="46">
        <v>260</v>
      </c>
      <c r="H298" s="46">
        <f>SUM(G298)</f>
        <v>260</v>
      </c>
      <c r="I298" s="47"/>
      <c r="J298" s="88"/>
      <c r="K298" s="47"/>
      <c r="L298" s="46"/>
      <c r="M298" s="46">
        <f>SUM(G298)</f>
        <v>260</v>
      </c>
      <c r="N298" s="46">
        <f>SUM(H298)</f>
        <v>260</v>
      </c>
      <c r="O298" s="94"/>
      <c r="P298" s="94"/>
    </row>
    <row r="299" spans="1:17" ht="31.5" x14ac:dyDescent="0.2">
      <c r="A299" s="42"/>
      <c r="B299" s="43" t="s">
        <v>131</v>
      </c>
      <c r="C299" s="44" t="s">
        <v>352</v>
      </c>
      <c r="D299" s="45" t="s">
        <v>132</v>
      </c>
      <c r="E299" s="105"/>
      <c r="F299" s="46">
        <v>1964</v>
      </c>
      <c r="G299" s="46"/>
      <c r="H299" s="46">
        <f>1964+G299</f>
        <v>1964</v>
      </c>
      <c r="I299" s="47"/>
      <c r="J299" s="88"/>
      <c r="K299" s="47"/>
      <c r="L299" s="46">
        <v>1964</v>
      </c>
      <c r="M299" s="46">
        <f>SUM(G299)</f>
        <v>0</v>
      </c>
      <c r="N299" s="46">
        <f>1964+M299</f>
        <v>1964</v>
      </c>
      <c r="O299" s="94"/>
      <c r="P299" s="94"/>
    </row>
    <row r="300" spans="1:17" ht="31.5" x14ac:dyDescent="0.2">
      <c r="A300" s="19" t="s">
        <v>353</v>
      </c>
      <c r="B300" s="20" t="s">
        <v>354</v>
      </c>
      <c r="C300" s="21" t="s">
        <v>355</v>
      </c>
      <c r="D300" s="22" t="s">
        <v>26</v>
      </c>
      <c r="E300" s="104"/>
      <c r="F300" s="23">
        <f t="shared" ref="F300:N300" si="62">F301+F314+F320</f>
        <v>62968.9</v>
      </c>
      <c r="G300" s="23">
        <f t="shared" si="62"/>
        <v>21.399999999999977</v>
      </c>
      <c r="H300" s="23">
        <f t="shared" si="62"/>
        <v>62990.299999999996</v>
      </c>
      <c r="I300" s="24">
        <f t="shared" si="62"/>
        <v>0</v>
      </c>
      <c r="J300" s="23">
        <f t="shared" si="62"/>
        <v>0</v>
      </c>
      <c r="K300" s="24">
        <f t="shared" si="62"/>
        <v>0</v>
      </c>
      <c r="L300" s="23">
        <f t="shared" si="62"/>
        <v>62968.9</v>
      </c>
      <c r="M300" s="23">
        <f t="shared" si="62"/>
        <v>21.399999999999977</v>
      </c>
      <c r="N300" s="23">
        <f t="shared" si="62"/>
        <v>62990.299999999996</v>
      </c>
      <c r="O300" s="93"/>
      <c r="P300" s="93"/>
      <c r="Q300" s="25"/>
    </row>
    <row r="301" spans="1:17" ht="15.75" x14ac:dyDescent="0.2">
      <c r="A301" s="49"/>
      <c r="B301" s="50" t="s">
        <v>356</v>
      </c>
      <c r="C301" s="51" t="s">
        <v>357</v>
      </c>
      <c r="D301" s="52" t="s">
        <v>26</v>
      </c>
      <c r="E301" s="106"/>
      <c r="F301" s="53">
        <f t="shared" ref="F301:N301" si="63">F302+F307</f>
        <v>47348.4</v>
      </c>
      <c r="G301" s="53">
        <f>G302+G311</f>
        <v>668.5</v>
      </c>
      <c r="H301" s="53">
        <f t="shared" si="63"/>
        <v>48016.899999999994</v>
      </c>
      <c r="I301" s="54">
        <f t="shared" si="63"/>
        <v>0</v>
      </c>
      <c r="J301" s="53">
        <f t="shared" si="63"/>
        <v>0</v>
      </c>
      <c r="K301" s="54">
        <f t="shared" si="63"/>
        <v>0</v>
      </c>
      <c r="L301" s="53">
        <f t="shared" si="63"/>
        <v>47348.4</v>
      </c>
      <c r="M301" s="53">
        <f t="shared" si="63"/>
        <v>668.5</v>
      </c>
      <c r="N301" s="53">
        <f t="shared" si="63"/>
        <v>48016.899999999994</v>
      </c>
      <c r="O301" s="95"/>
      <c r="P301" s="95"/>
      <c r="Q301" s="55"/>
    </row>
    <row r="302" spans="1:17" ht="15.75" x14ac:dyDescent="0.2">
      <c r="A302" s="42"/>
      <c r="B302" s="43" t="s">
        <v>358</v>
      </c>
      <c r="C302" s="44" t="s">
        <v>359</v>
      </c>
      <c r="D302" s="45" t="s">
        <v>26</v>
      </c>
      <c r="E302" s="105"/>
      <c r="F302" s="46">
        <f>F303</f>
        <v>36467.9</v>
      </c>
      <c r="G302" s="46">
        <f>G303</f>
        <v>304.2</v>
      </c>
      <c r="H302" s="46">
        <f>H303</f>
        <v>36772.1</v>
      </c>
      <c r="I302" s="47">
        <f>I303</f>
        <v>0</v>
      </c>
      <c r="J302" s="88"/>
      <c r="K302" s="47">
        <f>K303</f>
        <v>0</v>
      </c>
      <c r="L302" s="46">
        <f>L303</f>
        <v>36467.9</v>
      </c>
      <c r="M302" s="46">
        <f>M303</f>
        <v>304.2</v>
      </c>
      <c r="N302" s="46">
        <f>N303</f>
        <v>36772.1</v>
      </c>
      <c r="O302" s="94"/>
      <c r="P302" s="94"/>
    </row>
    <row r="303" spans="1:17" ht="31.5" x14ac:dyDescent="0.2">
      <c r="A303" s="42"/>
      <c r="B303" s="43" t="s">
        <v>39</v>
      </c>
      <c r="C303" s="44" t="s">
        <v>360</v>
      </c>
      <c r="D303" s="45" t="s">
        <v>26</v>
      </c>
      <c r="E303" s="105"/>
      <c r="F303" s="46">
        <f>F304+F305+F306</f>
        <v>36467.9</v>
      </c>
      <c r="G303" s="46">
        <f>G304+G305</f>
        <v>304.2</v>
      </c>
      <c r="H303" s="46">
        <f>H304+H305+H306</f>
        <v>36772.1</v>
      </c>
      <c r="I303" s="47">
        <f>I304+I305+I306</f>
        <v>0</v>
      </c>
      <c r="J303" s="88"/>
      <c r="K303" s="47">
        <f>K304+K305+K306</f>
        <v>0</v>
      </c>
      <c r="L303" s="46">
        <f>L304+L305+L306</f>
        <v>36467.9</v>
      </c>
      <c r="M303" s="46">
        <f>M304+M305+M306</f>
        <v>304.2</v>
      </c>
      <c r="N303" s="46">
        <f>N304+N305+N306</f>
        <v>36772.1</v>
      </c>
      <c r="O303" s="94"/>
      <c r="P303" s="94"/>
    </row>
    <row r="304" spans="1:17" ht="64.150000000000006" customHeight="1" x14ac:dyDescent="0.2">
      <c r="A304" s="42"/>
      <c r="B304" s="43" t="s">
        <v>31</v>
      </c>
      <c r="C304" s="44" t="s">
        <v>360</v>
      </c>
      <c r="D304" s="45" t="s">
        <v>32</v>
      </c>
      <c r="E304" s="105"/>
      <c r="F304" s="46">
        <v>25539</v>
      </c>
      <c r="G304" s="46">
        <v>304.2</v>
      </c>
      <c r="H304" s="46">
        <f>25539+304.2</f>
        <v>25843.200000000001</v>
      </c>
      <c r="I304" s="47">
        <v>0</v>
      </c>
      <c r="J304" s="88"/>
      <c r="K304" s="47">
        <v>0</v>
      </c>
      <c r="L304" s="46">
        <f t="shared" ref="L304:N305" si="64">SUM(F304)</f>
        <v>25539</v>
      </c>
      <c r="M304" s="46">
        <f t="shared" si="64"/>
        <v>304.2</v>
      </c>
      <c r="N304" s="46">
        <f t="shared" si="64"/>
        <v>25843.200000000001</v>
      </c>
      <c r="O304" s="94"/>
      <c r="P304" s="94"/>
    </row>
    <row r="305" spans="1:16" ht="31.5" x14ac:dyDescent="0.2">
      <c r="A305" s="42"/>
      <c r="B305" s="43" t="s">
        <v>35</v>
      </c>
      <c r="C305" s="44" t="s">
        <v>360</v>
      </c>
      <c r="D305" s="45" t="s">
        <v>36</v>
      </c>
      <c r="E305" s="105"/>
      <c r="F305" s="46">
        <v>10851.5</v>
      </c>
      <c r="G305" s="46"/>
      <c r="H305" s="46">
        <v>10851.5</v>
      </c>
      <c r="I305" s="47">
        <v>0</v>
      </c>
      <c r="J305" s="88"/>
      <c r="K305" s="47">
        <v>0</v>
      </c>
      <c r="L305" s="46">
        <f t="shared" si="64"/>
        <v>10851.5</v>
      </c>
      <c r="M305" s="46">
        <f t="shared" si="64"/>
        <v>0</v>
      </c>
      <c r="N305" s="46">
        <f t="shared" si="64"/>
        <v>10851.5</v>
      </c>
      <c r="O305" s="94"/>
      <c r="P305" s="94"/>
    </row>
    <row r="306" spans="1:16" ht="15.75" x14ac:dyDescent="0.2">
      <c r="A306" s="42"/>
      <c r="B306" s="43" t="s">
        <v>41</v>
      </c>
      <c r="C306" s="44" t="s">
        <v>360</v>
      </c>
      <c r="D306" s="45" t="s">
        <v>42</v>
      </c>
      <c r="E306" s="105"/>
      <c r="F306" s="46">
        <v>77.400000000000006</v>
      </c>
      <c r="G306" s="46"/>
      <c r="H306" s="46">
        <v>77.400000000000006</v>
      </c>
      <c r="I306" s="47">
        <v>0</v>
      </c>
      <c r="J306" s="88"/>
      <c r="K306" s="47">
        <v>0</v>
      </c>
      <c r="L306" s="46">
        <v>77.400000000000006</v>
      </c>
      <c r="M306" s="46"/>
      <c r="N306" s="46">
        <v>77.400000000000006</v>
      </c>
      <c r="O306" s="94"/>
      <c r="P306" s="94"/>
    </row>
    <row r="307" spans="1:16" ht="31.5" x14ac:dyDescent="0.2">
      <c r="A307" s="42"/>
      <c r="B307" s="43" t="s">
        <v>361</v>
      </c>
      <c r="C307" s="44" t="s">
        <v>362</v>
      </c>
      <c r="D307" s="45" t="s">
        <v>26</v>
      </c>
      <c r="E307" s="105"/>
      <c r="F307" s="46">
        <f>F308+F311</f>
        <v>10880.5</v>
      </c>
      <c r="G307" s="46">
        <f>G308+G311</f>
        <v>364.3</v>
      </c>
      <c r="H307" s="46">
        <f>H308+H311</f>
        <v>11244.8</v>
      </c>
      <c r="I307" s="47">
        <f>I308+I311</f>
        <v>0</v>
      </c>
      <c r="J307" s="88"/>
      <c r="K307" s="47">
        <f>K308+K311</f>
        <v>0</v>
      </c>
      <c r="L307" s="46">
        <f>L308+L311</f>
        <v>10880.5</v>
      </c>
      <c r="M307" s="46">
        <f>M308+M311</f>
        <v>364.3</v>
      </c>
      <c r="N307" s="46">
        <f>N308+N311</f>
        <v>11244.8</v>
      </c>
      <c r="O307" s="94"/>
      <c r="P307" s="94"/>
    </row>
    <row r="308" spans="1:16" ht="31.5" x14ac:dyDescent="0.2">
      <c r="A308" s="42"/>
      <c r="B308" s="43" t="s">
        <v>39</v>
      </c>
      <c r="C308" s="44" t="s">
        <v>363</v>
      </c>
      <c r="D308" s="45" t="s">
        <v>26</v>
      </c>
      <c r="E308" s="105"/>
      <c r="F308" s="46">
        <f>F309+F310</f>
        <v>9205.9</v>
      </c>
      <c r="G308" s="46">
        <f>G309+G310</f>
        <v>0</v>
      </c>
      <c r="H308" s="46">
        <f>H309+H310</f>
        <v>9205.9</v>
      </c>
      <c r="I308" s="47">
        <f>I309+I310</f>
        <v>0</v>
      </c>
      <c r="J308" s="88"/>
      <c r="K308" s="47">
        <f>K309+K310</f>
        <v>0</v>
      </c>
      <c r="L308" s="46">
        <f>L309+L310</f>
        <v>9205.9</v>
      </c>
      <c r="M308" s="46">
        <f>M309+M310</f>
        <v>0</v>
      </c>
      <c r="N308" s="46">
        <f>N309+N310</f>
        <v>9205.9</v>
      </c>
      <c r="O308" s="94"/>
      <c r="P308" s="94"/>
    </row>
    <row r="309" spans="1:16" ht="64.150000000000006" customHeight="1" x14ac:dyDescent="0.2">
      <c r="A309" s="42"/>
      <c r="B309" s="43" t="s">
        <v>31</v>
      </c>
      <c r="C309" s="44" t="s">
        <v>363</v>
      </c>
      <c r="D309" s="45" t="s">
        <v>32</v>
      </c>
      <c r="E309" s="105"/>
      <c r="F309" s="46">
        <v>8505.9</v>
      </c>
      <c r="G309" s="46"/>
      <c r="H309" s="46">
        <v>8505.9</v>
      </c>
      <c r="I309" s="47">
        <v>0</v>
      </c>
      <c r="J309" s="88"/>
      <c r="K309" s="47">
        <v>0</v>
      </c>
      <c r="L309" s="46">
        <v>8505.9</v>
      </c>
      <c r="M309" s="46"/>
      <c r="N309" s="46">
        <v>8505.9</v>
      </c>
      <c r="O309" s="94"/>
      <c r="P309" s="94"/>
    </row>
    <row r="310" spans="1:16" ht="31.5" x14ac:dyDescent="0.2">
      <c r="A310" s="42"/>
      <c r="B310" s="43" t="s">
        <v>35</v>
      </c>
      <c r="C310" s="44" t="s">
        <v>363</v>
      </c>
      <c r="D310" s="45" t="s">
        <v>36</v>
      </c>
      <c r="E310" s="105"/>
      <c r="F310" s="46">
        <v>700</v>
      </c>
      <c r="G310" s="46"/>
      <c r="H310" s="46">
        <v>700</v>
      </c>
      <c r="I310" s="47">
        <v>0</v>
      </c>
      <c r="J310" s="88"/>
      <c r="K310" s="47">
        <v>0</v>
      </c>
      <c r="L310" s="46">
        <v>700</v>
      </c>
      <c r="M310" s="46"/>
      <c r="N310" s="46">
        <v>700</v>
      </c>
      <c r="O310" s="94"/>
      <c r="P310" s="94"/>
    </row>
    <row r="311" spans="1:16" ht="31.5" x14ac:dyDescent="0.2">
      <c r="A311" s="42"/>
      <c r="B311" s="43" t="s">
        <v>364</v>
      </c>
      <c r="C311" s="44" t="s">
        <v>365</v>
      </c>
      <c r="D311" s="45" t="s">
        <v>26</v>
      </c>
      <c r="E311" s="105"/>
      <c r="F311" s="46">
        <f>F312+F313</f>
        <v>1674.6</v>
      </c>
      <c r="G311" s="46">
        <f>SUM(G312)+G313</f>
        <v>364.3</v>
      </c>
      <c r="H311" s="46">
        <f>H312+H313</f>
        <v>2038.9</v>
      </c>
      <c r="I311" s="47">
        <f>I312+I313</f>
        <v>0</v>
      </c>
      <c r="J311" s="88"/>
      <c r="K311" s="47">
        <f>K312+K313</f>
        <v>0</v>
      </c>
      <c r="L311" s="46">
        <f>SUM(F311)</f>
        <v>1674.6</v>
      </c>
      <c r="M311" s="46">
        <f>SUM(M312)+M313</f>
        <v>364.3</v>
      </c>
      <c r="N311" s="46">
        <f>SUM(H311)</f>
        <v>2038.9</v>
      </c>
      <c r="O311" s="94"/>
      <c r="P311" s="94"/>
    </row>
    <row r="312" spans="1:16" ht="31.5" x14ac:dyDescent="0.2">
      <c r="A312" s="42"/>
      <c r="B312" s="43" t="s">
        <v>35</v>
      </c>
      <c r="C312" s="44" t="s">
        <v>365</v>
      </c>
      <c r="D312" s="45" t="s">
        <v>36</v>
      </c>
      <c r="E312" s="105"/>
      <c r="F312" s="46">
        <v>855</v>
      </c>
      <c r="G312" s="46">
        <f>350-16.3+14.3</f>
        <v>348</v>
      </c>
      <c r="H312" s="46">
        <f>855+G312</f>
        <v>1203</v>
      </c>
      <c r="I312" s="47">
        <v>0</v>
      </c>
      <c r="J312" s="88"/>
      <c r="K312" s="47">
        <v>0</v>
      </c>
      <c r="L312" s="46">
        <f>1000.2-745.2</f>
        <v>255</v>
      </c>
      <c r="M312" s="46">
        <f>SUM(G312)</f>
        <v>348</v>
      </c>
      <c r="N312" s="71">
        <f>1000.2-745.2+M312</f>
        <v>603</v>
      </c>
      <c r="O312" s="94"/>
      <c r="P312" s="94"/>
    </row>
    <row r="313" spans="1:16" ht="15.75" x14ac:dyDescent="0.2">
      <c r="A313" s="42"/>
      <c r="B313" s="43" t="s">
        <v>41</v>
      </c>
      <c r="C313" s="44" t="s">
        <v>365</v>
      </c>
      <c r="D313" s="45" t="s">
        <v>42</v>
      </c>
      <c r="E313" s="105"/>
      <c r="F313" s="46">
        <f>74.4+745.2</f>
        <v>819.6</v>
      </c>
      <c r="G313" s="46">
        <v>16.3</v>
      </c>
      <c r="H313" s="46">
        <f>74.4+745.2+G313</f>
        <v>835.9</v>
      </c>
      <c r="I313" s="47">
        <v>0</v>
      </c>
      <c r="J313" s="88"/>
      <c r="K313" s="47">
        <v>0</v>
      </c>
      <c r="L313" s="46">
        <f>74.4+745.2</f>
        <v>819.6</v>
      </c>
      <c r="M313" s="46">
        <f>SUM(G313)</f>
        <v>16.3</v>
      </c>
      <c r="N313" s="71">
        <f>74.4+745.2+M313</f>
        <v>835.9</v>
      </c>
      <c r="O313" s="94"/>
      <c r="P313" s="94"/>
    </row>
    <row r="314" spans="1:16" ht="15.75" x14ac:dyDescent="0.2">
      <c r="A314" s="49"/>
      <c r="B314" s="50" t="s">
        <v>366</v>
      </c>
      <c r="C314" s="51" t="s">
        <v>367</v>
      </c>
      <c r="D314" s="52" t="s">
        <v>26</v>
      </c>
      <c r="E314" s="106"/>
      <c r="F314" s="53">
        <f t="shared" ref="F314:N314" si="65">F315</f>
        <v>210.5</v>
      </c>
      <c r="G314" s="53">
        <f t="shared" si="65"/>
        <v>0</v>
      </c>
      <c r="H314" s="53">
        <f t="shared" si="65"/>
        <v>210.5</v>
      </c>
      <c r="I314" s="54">
        <f t="shared" si="65"/>
        <v>0</v>
      </c>
      <c r="J314" s="53">
        <f t="shared" si="65"/>
        <v>0</v>
      </c>
      <c r="K314" s="54">
        <f t="shared" si="65"/>
        <v>0</v>
      </c>
      <c r="L314" s="53">
        <f t="shared" si="65"/>
        <v>210.5</v>
      </c>
      <c r="M314" s="53">
        <f t="shared" si="65"/>
        <v>0</v>
      </c>
      <c r="N314" s="53">
        <f t="shared" si="65"/>
        <v>210.5</v>
      </c>
      <c r="O314" s="95"/>
      <c r="P314" s="95"/>
    </row>
    <row r="315" spans="1:16" ht="39" customHeight="1" x14ac:dyDescent="0.2">
      <c r="A315" s="42"/>
      <c r="B315" s="43" t="s">
        <v>368</v>
      </c>
      <c r="C315" s="44" t="s">
        <v>369</v>
      </c>
      <c r="D315" s="45" t="s">
        <v>26</v>
      </c>
      <c r="E315" s="105"/>
      <c r="F315" s="46">
        <f>F316+F318</f>
        <v>210.5</v>
      </c>
      <c r="G315" s="46">
        <f>G316+G318</f>
        <v>0</v>
      </c>
      <c r="H315" s="46">
        <f>H316+H318</f>
        <v>210.5</v>
      </c>
      <c r="I315" s="47">
        <f>I316+I318</f>
        <v>0</v>
      </c>
      <c r="J315" s="88"/>
      <c r="K315" s="47">
        <f>K316+K318</f>
        <v>0</v>
      </c>
      <c r="L315" s="46">
        <f>L316+L318</f>
        <v>210.5</v>
      </c>
      <c r="M315" s="46">
        <f>M316+M318</f>
        <v>0</v>
      </c>
      <c r="N315" s="46">
        <f>N316+N318</f>
        <v>210.5</v>
      </c>
      <c r="O315" s="94"/>
      <c r="P315" s="94"/>
    </row>
    <row r="316" spans="1:16" ht="15.75" x14ac:dyDescent="0.2">
      <c r="A316" s="42"/>
      <c r="B316" s="43" t="s">
        <v>370</v>
      </c>
      <c r="C316" s="44" t="s">
        <v>371</v>
      </c>
      <c r="D316" s="45" t="s">
        <v>26</v>
      </c>
      <c r="E316" s="105"/>
      <c r="F316" s="46">
        <f>F317</f>
        <v>10.5</v>
      </c>
      <c r="G316" s="46">
        <f>G317</f>
        <v>0</v>
      </c>
      <c r="H316" s="46">
        <f>H317</f>
        <v>10.5</v>
      </c>
      <c r="I316" s="47">
        <f>I317</f>
        <v>0</v>
      </c>
      <c r="J316" s="88"/>
      <c r="K316" s="47">
        <f>K317</f>
        <v>0</v>
      </c>
      <c r="L316" s="46">
        <f>L317</f>
        <v>10.5</v>
      </c>
      <c r="M316" s="46">
        <f>M317</f>
        <v>0</v>
      </c>
      <c r="N316" s="46">
        <f>N317</f>
        <v>10.5</v>
      </c>
      <c r="O316" s="94"/>
      <c r="P316" s="94"/>
    </row>
    <row r="317" spans="1:16" ht="22.15" customHeight="1" x14ac:dyDescent="0.2">
      <c r="A317" s="42"/>
      <c r="B317" s="43" t="s">
        <v>372</v>
      </c>
      <c r="C317" s="44" t="s">
        <v>371</v>
      </c>
      <c r="D317" s="45" t="s">
        <v>373</v>
      </c>
      <c r="E317" s="105"/>
      <c r="F317" s="56">
        <v>10.5</v>
      </c>
      <c r="G317" s="56"/>
      <c r="H317" s="56">
        <v>10.5</v>
      </c>
      <c r="I317" s="47">
        <v>0</v>
      </c>
      <c r="J317" s="111"/>
      <c r="K317" s="47">
        <v>0</v>
      </c>
      <c r="L317" s="56">
        <f>SUM(F317)</f>
        <v>10.5</v>
      </c>
      <c r="M317" s="56">
        <f>SUM(G317)</f>
        <v>0</v>
      </c>
      <c r="N317" s="56">
        <f>SUM(H317)</f>
        <v>10.5</v>
      </c>
      <c r="O317" s="94"/>
      <c r="P317" s="94"/>
    </row>
    <row r="318" spans="1:16" ht="31.5" x14ac:dyDescent="0.2">
      <c r="A318" s="42"/>
      <c r="B318" s="43" t="s">
        <v>374</v>
      </c>
      <c r="C318" s="44" t="s">
        <v>375</v>
      </c>
      <c r="D318" s="45" t="s">
        <v>26</v>
      </c>
      <c r="E318" s="105"/>
      <c r="F318" s="46">
        <f>F319</f>
        <v>200</v>
      </c>
      <c r="G318" s="46">
        <f>G319</f>
        <v>0</v>
      </c>
      <c r="H318" s="46">
        <f>H319</f>
        <v>200</v>
      </c>
      <c r="I318" s="47">
        <f>I319</f>
        <v>0</v>
      </c>
      <c r="J318" s="88"/>
      <c r="K318" s="47">
        <f>K319</f>
        <v>0</v>
      </c>
      <c r="L318" s="46">
        <f>L319</f>
        <v>200</v>
      </c>
      <c r="M318" s="46">
        <f>M319</f>
        <v>0</v>
      </c>
      <c r="N318" s="46">
        <f>N319</f>
        <v>200</v>
      </c>
      <c r="O318" s="94"/>
      <c r="P318" s="94"/>
    </row>
    <row r="319" spans="1:16" ht="31.5" x14ac:dyDescent="0.2">
      <c r="A319" s="42"/>
      <c r="B319" s="43" t="s">
        <v>35</v>
      </c>
      <c r="C319" s="44" t="s">
        <v>375</v>
      </c>
      <c r="D319" s="45" t="s">
        <v>36</v>
      </c>
      <c r="E319" s="105"/>
      <c r="F319" s="46">
        <v>200</v>
      </c>
      <c r="G319" s="46"/>
      <c r="H319" s="46">
        <v>200</v>
      </c>
      <c r="I319" s="47">
        <v>0</v>
      </c>
      <c r="J319" s="88"/>
      <c r="K319" s="47">
        <v>0</v>
      </c>
      <c r="L319" s="46">
        <v>200</v>
      </c>
      <c r="M319" s="46"/>
      <c r="N319" s="46">
        <v>200</v>
      </c>
      <c r="O319" s="94"/>
      <c r="P319" s="94"/>
    </row>
    <row r="320" spans="1:16" ht="31.5" x14ac:dyDescent="0.2">
      <c r="A320" s="49"/>
      <c r="B320" s="50" t="s">
        <v>376</v>
      </c>
      <c r="C320" s="51" t="s">
        <v>377</v>
      </c>
      <c r="D320" s="52" t="s">
        <v>26</v>
      </c>
      <c r="E320" s="106"/>
      <c r="F320" s="53">
        <f t="shared" ref="F320:N320" si="66">F321+F325+F328</f>
        <v>15410</v>
      </c>
      <c r="G320" s="53">
        <f t="shared" si="66"/>
        <v>-647.1</v>
      </c>
      <c r="H320" s="53">
        <f t="shared" si="66"/>
        <v>14762.9</v>
      </c>
      <c r="I320" s="54">
        <f t="shared" si="66"/>
        <v>0</v>
      </c>
      <c r="J320" s="53">
        <f t="shared" si="66"/>
        <v>0</v>
      </c>
      <c r="K320" s="54">
        <f t="shared" si="66"/>
        <v>0</v>
      </c>
      <c r="L320" s="53">
        <f t="shared" si="66"/>
        <v>15410</v>
      </c>
      <c r="M320" s="53">
        <f t="shared" si="66"/>
        <v>-647.1</v>
      </c>
      <c r="N320" s="53">
        <f t="shared" si="66"/>
        <v>14762.9</v>
      </c>
      <c r="O320" s="95"/>
      <c r="P320" s="95"/>
    </row>
    <row r="321" spans="1:16" ht="37.9" customHeight="1" x14ac:dyDescent="0.2">
      <c r="A321" s="42"/>
      <c r="B321" s="43" t="s">
        <v>378</v>
      </c>
      <c r="C321" s="44" t="s">
        <v>379</v>
      </c>
      <c r="D321" s="45" t="s">
        <v>26</v>
      </c>
      <c r="E321" s="105"/>
      <c r="F321" s="46">
        <f>F322</f>
        <v>4150.8999999999996</v>
      </c>
      <c r="G321" s="46">
        <f>G322</f>
        <v>-647.1</v>
      </c>
      <c r="H321" s="46">
        <f>H322</f>
        <v>3503.7999999999997</v>
      </c>
      <c r="I321" s="47">
        <f>I322</f>
        <v>0</v>
      </c>
      <c r="J321" s="88"/>
      <c r="K321" s="47">
        <f>K322</f>
        <v>0</v>
      </c>
      <c r="L321" s="46">
        <f>L322</f>
        <v>4150.8999999999996</v>
      </c>
      <c r="M321" s="46">
        <f>M322</f>
        <v>-647.1</v>
      </c>
      <c r="N321" s="46">
        <f>N322</f>
        <v>3503.7999999999997</v>
      </c>
      <c r="O321" s="94"/>
      <c r="P321" s="94"/>
    </row>
    <row r="322" spans="1:16" ht="31.5" x14ac:dyDescent="0.2">
      <c r="A322" s="42"/>
      <c r="B322" s="43" t="s">
        <v>93</v>
      </c>
      <c r="C322" s="44" t="s">
        <v>380</v>
      </c>
      <c r="D322" s="45" t="s">
        <v>26</v>
      </c>
      <c r="E322" s="105"/>
      <c r="F322" s="46">
        <f>F323+F324</f>
        <v>4150.8999999999996</v>
      </c>
      <c r="G322" s="46">
        <f>G323+G324</f>
        <v>-647.1</v>
      </c>
      <c r="H322" s="46">
        <f>H323+H324</f>
        <v>3503.7999999999997</v>
      </c>
      <c r="I322" s="47">
        <f>I323+I324</f>
        <v>0</v>
      </c>
      <c r="J322" s="88"/>
      <c r="K322" s="47">
        <f>K323+K324</f>
        <v>0</v>
      </c>
      <c r="L322" s="46">
        <f>L323+L324</f>
        <v>4150.8999999999996</v>
      </c>
      <c r="M322" s="46">
        <f>M323+M324</f>
        <v>-647.1</v>
      </c>
      <c r="N322" s="46">
        <f>N323+N324</f>
        <v>3503.7999999999997</v>
      </c>
      <c r="O322" s="94"/>
      <c r="P322" s="94"/>
    </row>
    <row r="323" spans="1:16" ht="64.900000000000006" customHeight="1" x14ac:dyDescent="0.2">
      <c r="A323" s="42"/>
      <c r="B323" s="43" t="s">
        <v>31</v>
      </c>
      <c r="C323" s="44" t="s">
        <v>380</v>
      </c>
      <c r="D323" s="45" t="s">
        <v>32</v>
      </c>
      <c r="E323" s="105"/>
      <c r="F323" s="46">
        <v>4140.8999999999996</v>
      </c>
      <c r="G323" s="46">
        <v>-647.1</v>
      </c>
      <c r="H323" s="46">
        <f>4140.9+G323</f>
        <v>3493.7999999999997</v>
      </c>
      <c r="I323" s="47">
        <v>0</v>
      </c>
      <c r="J323" s="88"/>
      <c r="K323" s="47">
        <v>0</v>
      </c>
      <c r="L323" s="46">
        <v>4140.8999999999996</v>
      </c>
      <c r="M323" s="46">
        <f>SUM(G323)</f>
        <v>-647.1</v>
      </c>
      <c r="N323" s="46">
        <f>4140.9+M323</f>
        <v>3493.7999999999997</v>
      </c>
      <c r="O323" s="94"/>
      <c r="P323" s="94"/>
    </row>
    <row r="324" spans="1:16" ht="31.5" x14ac:dyDescent="0.2">
      <c r="A324" s="42"/>
      <c r="B324" s="43" t="s">
        <v>35</v>
      </c>
      <c r="C324" s="44" t="s">
        <v>380</v>
      </c>
      <c r="D324" s="45" t="s">
        <v>36</v>
      </c>
      <c r="E324" s="105"/>
      <c r="F324" s="46">
        <v>10</v>
      </c>
      <c r="G324" s="46"/>
      <c r="H324" s="46">
        <v>10</v>
      </c>
      <c r="I324" s="47">
        <v>0</v>
      </c>
      <c r="J324" s="88"/>
      <c r="K324" s="47">
        <v>0</v>
      </c>
      <c r="L324" s="46">
        <v>10</v>
      </c>
      <c r="M324" s="46"/>
      <c r="N324" s="46">
        <v>10</v>
      </c>
      <c r="O324" s="94"/>
      <c r="P324" s="94"/>
    </row>
    <row r="325" spans="1:16" ht="47.25" x14ac:dyDescent="0.2">
      <c r="A325" s="42"/>
      <c r="B325" s="43" t="s">
        <v>381</v>
      </c>
      <c r="C325" s="44" t="s">
        <v>382</v>
      </c>
      <c r="D325" s="45" t="s">
        <v>26</v>
      </c>
      <c r="E325" s="105"/>
      <c r="F325" s="46">
        <f t="shared" ref="F325:N326" si="67">F326</f>
        <v>10344.1</v>
      </c>
      <c r="G325" s="46">
        <f t="shared" si="67"/>
        <v>0</v>
      </c>
      <c r="H325" s="46">
        <f t="shared" si="67"/>
        <v>10344.1</v>
      </c>
      <c r="I325" s="47">
        <f t="shared" si="67"/>
        <v>0</v>
      </c>
      <c r="J325" s="88"/>
      <c r="K325" s="47">
        <f t="shared" si="67"/>
        <v>0</v>
      </c>
      <c r="L325" s="46">
        <f t="shared" si="67"/>
        <v>10344.1</v>
      </c>
      <c r="M325" s="46">
        <f t="shared" si="67"/>
        <v>0</v>
      </c>
      <c r="N325" s="46">
        <f t="shared" si="67"/>
        <v>10344.1</v>
      </c>
      <c r="O325" s="94"/>
      <c r="P325" s="94"/>
    </row>
    <row r="326" spans="1:16" ht="31.5" x14ac:dyDescent="0.2">
      <c r="A326" s="42"/>
      <c r="B326" s="43" t="s">
        <v>39</v>
      </c>
      <c r="C326" s="44" t="s">
        <v>383</v>
      </c>
      <c r="D326" s="45" t="s">
        <v>26</v>
      </c>
      <c r="E326" s="105"/>
      <c r="F326" s="46">
        <f t="shared" si="67"/>
        <v>10344.1</v>
      </c>
      <c r="G326" s="46">
        <f t="shared" si="67"/>
        <v>0</v>
      </c>
      <c r="H326" s="46">
        <f t="shared" si="67"/>
        <v>10344.1</v>
      </c>
      <c r="I326" s="47">
        <f t="shared" si="67"/>
        <v>0</v>
      </c>
      <c r="J326" s="88"/>
      <c r="K326" s="47">
        <f t="shared" si="67"/>
        <v>0</v>
      </c>
      <c r="L326" s="46">
        <f t="shared" si="67"/>
        <v>10344.1</v>
      </c>
      <c r="M326" s="46">
        <f t="shared" si="67"/>
        <v>0</v>
      </c>
      <c r="N326" s="46">
        <f t="shared" si="67"/>
        <v>10344.1</v>
      </c>
      <c r="O326" s="94"/>
      <c r="P326" s="94"/>
    </row>
    <row r="327" spans="1:16" ht="31.5" x14ac:dyDescent="0.2">
      <c r="A327" s="42"/>
      <c r="B327" s="43" t="s">
        <v>74</v>
      </c>
      <c r="C327" s="44" t="s">
        <v>383</v>
      </c>
      <c r="D327" s="45" t="s">
        <v>75</v>
      </c>
      <c r="E327" s="105"/>
      <c r="F327" s="46">
        <v>10344.1</v>
      </c>
      <c r="G327" s="46"/>
      <c r="H327" s="46">
        <v>10344.1</v>
      </c>
      <c r="I327" s="47">
        <v>0</v>
      </c>
      <c r="J327" s="88"/>
      <c r="K327" s="47">
        <v>0</v>
      </c>
      <c r="L327" s="46">
        <v>10344.1</v>
      </c>
      <c r="M327" s="46"/>
      <c r="N327" s="46">
        <v>10344.1</v>
      </c>
      <c r="O327" s="94"/>
      <c r="P327" s="94"/>
    </row>
    <row r="328" spans="1:16" ht="36.6" customHeight="1" x14ac:dyDescent="0.2">
      <c r="A328" s="42"/>
      <c r="B328" s="43" t="s">
        <v>384</v>
      </c>
      <c r="C328" s="44" t="s">
        <v>385</v>
      </c>
      <c r="D328" s="45" t="s">
        <v>26</v>
      </c>
      <c r="E328" s="105"/>
      <c r="F328" s="46">
        <f>F329</f>
        <v>915</v>
      </c>
      <c r="G328" s="46">
        <f>G329</f>
        <v>0</v>
      </c>
      <c r="H328" s="46">
        <f>H329</f>
        <v>915</v>
      </c>
      <c r="I328" s="47">
        <f>I329</f>
        <v>0</v>
      </c>
      <c r="J328" s="88"/>
      <c r="K328" s="47">
        <f>K329</f>
        <v>0</v>
      </c>
      <c r="L328" s="46">
        <f>L329</f>
        <v>915</v>
      </c>
      <c r="M328" s="46">
        <f>M329</f>
        <v>0</v>
      </c>
      <c r="N328" s="46">
        <f>N329</f>
        <v>915</v>
      </c>
      <c r="O328" s="94"/>
      <c r="P328" s="94"/>
    </row>
    <row r="329" spans="1:16" ht="36" customHeight="1" x14ac:dyDescent="0.2">
      <c r="A329" s="42"/>
      <c r="B329" s="43" t="s">
        <v>386</v>
      </c>
      <c r="C329" s="44" t="s">
        <v>387</v>
      </c>
      <c r="D329" s="45" t="s">
        <v>26</v>
      </c>
      <c r="E329" s="105"/>
      <c r="F329" s="46">
        <f>F330+F331</f>
        <v>915</v>
      </c>
      <c r="G329" s="46">
        <f>G330+G331</f>
        <v>0</v>
      </c>
      <c r="H329" s="46">
        <f>H330+H331</f>
        <v>915</v>
      </c>
      <c r="I329" s="47">
        <f>I330+I331</f>
        <v>0</v>
      </c>
      <c r="J329" s="88"/>
      <c r="K329" s="47">
        <f>K330+K331</f>
        <v>0</v>
      </c>
      <c r="L329" s="46">
        <f>L330+L331</f>
        <v>915</v>
      </c>
      <c r="M329" s="46">
        <f>M330+M331</f>
        <v>0</v>
      </c>
      <c r="N329" s="46">
        <f>N330+N331</f>
        <v>915</v>
      </c>
      <c r="O329" s="94"/>
      <c r="P329" s="94"/>
    </row>
    <row r="330" spans="1:16" ht="31.5" x14ac:dyDescent="0.2">
      <c r="A330" s="42"/>
      <c r="B330" s="43" t="s">
        <v>35</v>
      </c>
      <c r="C330" s="44" t="s">
        <v>387</v>
      </c>
      <c r="D330" s="45" t="s">
        <v>36</v>
      </c>
      <c r="E330" s="105"/>
      <c r="F330" s="46">
        <v>900</v>
      </c>
      <c r="G330" s="46"/>
      <c r="H330" s="46">
        <v>900</v>
      </c>
      <c r="I330" s="47">
        <v>0</v>
      </c>
      <c r="J330" s="88"/>
      <c r="K330" s="47">
        <v>0</v>
      </c>
      <c r="L330" s="46">
        <v>900</v>
      </c>
      <c r="M330" s="46"/>
      <c r="N330" s="46">
        <v>900</v>
      </c>
      <c r="O330" s="94"/>
      <c r="P330" s="94"/>
    </row>
    <row r="331" spans="1:16" ht="15.75" x14ac:dyDescent="0.2">
      <c r="A331" s="42"/>
      <c r="B331" s="43" t="s">
        <v>41</v>
      </c>
      <c r="C331" s="44" t="s">
        <v>387</v>
      </c>
      <c r="D331" s="45" t="s">
        <v>42</v>
      </c>
      <c r="E331" s="105"/>
      <c r="F331" s="46">
        <v>15</v>
      </c>
      <c r="G331" s="46"/>
      <c r="H331" s="46">
        <v>15</v>
      </c>
      <c r="I331" s="47">
        <v>0</v>
      </c>
      <c r="J331" s="88"/>
      <c r="K331" s="47">
        <v>0</v>
      </c>
      <c r="L331" s="46">
        <v>15</v>
      </c>
      <c r="M331" s="46"/>
      <c r="N331" s="46">
        <v>15</v>
      </c>
      <c r="O331" s="94"/>
      <c r="P331" s="94"/>
    </row>
    <row r="332" spans="1:16" ht="15.75" x14ac:dyDescent="0.2">
      <c r="A332" s="19" t="s">
        <v>388</v>
      </c>
      <c r="B332" s="20" t="s">
        <v>389</v>
      </c>
      <c r="C332" s="21" t="s">
        <v>390</v>
      </c>
      <c r="D332" s="22" t="s">
        <v>26</v>
      </c>
      <c r="E332" s="104"/>
      <c r="F332" s="23">
        <f t="shared" ref="F332:N334" si="68">F333</f>
        <v>50</v>
      </c>
      <c r="G332" s="23">
        <f t="shared" si="68"/>
        <v>1133.5999999999999</v>
      </c>
      <c r="H332" s="23">
        <f t="shared" si="68"/>
        <v>1183.5999999999999</v>
      </c>
      <c r="I332" s="24">
        <f t="shared" si="68"/>
        <v>0</v>
      </c>
      <c r="J332" s="23">
        <f>J333</f>
        <v>0</v>
      </c>
      <c r="K332" s="24">
        <f t="shared" si="68"/>
        <v>0</v>
      </c>
      <c r="L332" s="23">
        <f t="shared" si="68"/>
        <v>50</v>
      </c>
      <c r="M332" s="23">
        <f t="shared" si="68"/>
        <v>1133.5999999999999</v>
      </c>
      <c r="N332" s="23">
        <f t="shared" si="68"/>
        <v>1183.5999999999999</v>
      </c>
      <c r="O332" s="93"/>
      <c r="P332" s="93"/>
    </row>
    <row r="333" spans="1:16" ht="51.6" customHeight="1" x14ac:dyDescent="0.2">
      <c r="A333" s="42"/>
      <c r="B333" s="43" t="s">
        <v>391</v>
      </c>
      <c r="C333" s="44" t="s">
        <v>392</v>
      </c>
      <c r="D333" s="45" t="s">
        <v>26</v>
      </c>
      <c r="E333" s="105"/>
      <c r="F333" s="46">
        <f t="shared" si="68"/>
        <v>50</v>
      </c>
      <c r="G333" s="46">
        <f t="shared" si="68"/>
        <v>1133.5999999999999</v>
      </c>
      <c r="H333" s="46">
        <f t="shared" si="68"/>
        <v>1183.5999999999999</v>
      </c>
      <c r="I333" s="47">
        <f t="shared" si="68"/>
        <v>0</v>
      </c>
      <c r="J333" s="88"/>
      <c r="K333" s="47">
        <f t="shared" si="68"/>
        <v>0</v>
      </c>
      <c r="L333" s="46">
        <f t="shared" si="68"/>
        <v>50</v>
      </c>
      <c r="M333" s="46">
        <f t="shared" si="68"/>
        <v>1133.5999999999999</v>
      </c>
      <c r="N333" s="46">
        <f t="shared" si="68"/>
        <v>1183.5999999999999</v>
      </c>
      <c r="O333" s="94"/>
      <c r="P333" s="94"/>
    </row>
    <row r="334" spans="1:16" ht="31.5" x14ac:dyDescent="0.2">
      <c r="A334" s="42"/>
      <c r="B334" s="43" t="s">
        <v>393</v>
      </c>
      <c r="C334" s="44" t="s">
        <v>394</v>
      </c>
      <c r="D334" s="45" t="s">
        <v>26</v>
      </c>
      <c r="E334" s="105"/>
      <c r="F334" s="46">
        <f t="shared" si="68"/>
        <v>50</v>
      </c>
      <c r="G334" s="46">
        <f t="shared" si="68"/>
        <v>1133.5999999999999</v>
      </c>
      <c r="H334" s="46">
        <f t="shared" si="68"/>
        <v>1183.5999999999999</v>
      </c>
      <c r="I334" s="47">
        <f t="shared" si="68"/>
        <v>0</v>
      </c>
      <c r="J334" s="88"/>
      <c r="K334" s="47">
        <f t="shared" si="68"/>
        <v>0</v>
      </c>
      <c r="L334" s="46">
        <f t="shared" si="68"/>
        <v>50</v>
      </c>
      <c r="M334" s="46">
        <f t="shared" si="68"/>
        <v>1133.5999999999999</v>
      </c>
      <c r="N334" s="46">
        <f t="shared" si="68"/>
        <v>1183.5999999999999</v>
      </c>
      <c r="O334" s="94"/>
      <c r="P334" s="94"/>
    </row>
    <row r="335" spans="1:16" ht="31.5" x14ac:dyDescent="0.2">
      <c r="A335" s="42"/>
      <c r="B335" s="43" t="s">
        <v>35</v>
      </c>
      <c r="C335" s="44" t="s">
        <v>394</v>
      </c>
      <c r="D335" s="45" t="s">
        <v>36</v>
      </c>
      <c r="E335" s="105"/>
      <c r="F335" s="46">
        <v>50</v>
      </c>
      <c r="G335" s="46">
        <v>1133.5999999999999</v>
      </c>
      <c r="H335" s="46">
        <f>50+G335</f>
        <v>1183.5999999999999</v>
      </c>
      <c r="I335" s="47">
        <v>0</v>
      </c>
      <c r="J335" s="88"/>
      <c r="K335" s="47">
        <v>0</v>
      </c>
      <c r="L335" s="46">
        <v>50</v>
      </c>
      <c r="M335" s="46">
        <f>SUM(G335)</f>
        <v>1133.5999999999999</v>
      </c>
      <c r="N335" s="46">
        <f>50+M335</f>
        <v>1183.5999999999999</v>
      </c>
      <c r="O335" s="94"/>
      <c r="P335" s="94"/>
    </row>
    <row r="336" spans="1:16" ht="49.15" customHeight="1" x14ac:dyDescent="0.2">
      <c r="A336" s="19" t="s">
        <v>395</v>
      </c>
      <c r="B336" s="20" t="s">
        <v>396</v>
      </c>
      <c r="C336" s="21" t="s">
        <v>397</v>
      </c>
      <c r="D336" s="22" t="s">
        <v>26</v>
      </c>
      <c r="E336" s="104"/>
      <c r="F336" s="23">
        <f t="shared" ref="F336:N338" si="69">F337</f>
        <v>679.7</v>
      </c>
      <c r="G336" s="23">
        <f t="shared" si="69"/>
        <v>29.400000000000006</v>
      </c>
      <c r="H336" s="23">
        <f t="shared" si="69"/>
        <v>709.09999999999991</v>
      </c>
      <c r="I336" s="24">
        <f t="shared" si="69"/>
        <v>0</v>
      </c>
      <c r="J336" s="23">
        <f>J337</f>
        <v>0</v>
      </c>
      <c r="K336" s="24">
        <f t="shared" si="69"/>
        <v>0</v>
      </c>
      <c r="L336" s="23">
        <f t="shared" si="69"/>
        <v>679.7</v>
      </c>
      <c r="M336" s="23">
        <f t="shared" si="69"/>
        <v>29.400000000000006</v>
      </c>
      <c r="N336" s="23">
        <f t="shared" si="69"/>
        <v>709.09999999999991</v>
      </c>
      <c r="O336" s="93"/>
      <c r="P336" s="93"/>
    </row>
    <row r="337" spans="1:16" ht="30.6" customHeight="1" x14ac:dyDescent="0.2">
      <c r="A337" s="42"/>
      <c r="B337" s="43" t="s">
        <v>398</v>
      </c>
      <c r="C337" s="44" t="s">
        <v>399</v>
      </c>
      <c r="D337" s="45" t="s">
        <v>26</v>
      </c>
      <c r="E337" s="105"/>
      <c r="F337" s="46">
        <f>F338+F341</f>
        <v>679.7</v>
      </c>
      <c r="G337" s="46">
        <f>G338+G341</f>
        <v>29.400000000000006</v>
      </c>
      <c r="H337" s="46">
        <f>H338+H341</f>
        <v>709.09999999999991</v>
      </c>
      <c r="I337" s="47">
        <f t="shared" si="69"/>
        <v>0</v>
      </c>
      <c r="J337" s="88"/>
      <c r="K337" s="47">
        <f t="shared" si="69"/>
        <v>0</v>
      </c>
      <c r="L337" s="46">
        <f>SUM(F337)</f>
        <v>679.7</v>
      </c>
      <c r="M337" s="46">
        <f>SUM(G337)</f>
        <v>29.400000000000006</v>
      </c>
      <c r="N337" s="46">
        <f>N338+N341</f>
        <v>709.09999999999991</v>
      </c>
      <c r="O337" s="94"/>
      <c r="P337" s="94"/>
    </row>
    <row r="338" spans="1:16" ht="49.15" customHeight="1" x14ac:dyDescent="0.2">
      <c r="A338" s="42"/>
      <c r="B338" s="43" t="s">
        <v>400</v>
      </c>
      <c r="C338" s="44" t="s">
        <v>401</v>
      </c>
      <c r="D338" s="45" t="s">
        <v>26</v>
      </c>
      <c r="E338" s="105"/>
      <c r="F338" s="46">
        <f t="shared" si="69"/>
        <v>280</v>
      </c>
      <c r="G338" s="46">
        <f>G339+G340</f>
        <v>29.400000000000006</v>
      </c>
      <c r="H338" s="46">
        <f t="shared" si="69"/>
        <v>309.39999999999998</v>
      </c>
      <c r="I338" s="47">
        <f t="shared" si="69"/>
        <v>0</v>
      </c>
      <c r="J338" s="88"/>
      <c r="K338" s="47">
        <f t="shared" si="69"/>
        <v>0</v>
      </c>
      <c r="L338" s="46">
        <f t="shared" si="69"/>
        <v>280</v>
      </c>
      <c r="M338" s="46">
        <f t="shared" si="69"/>
        <v>-170.6</v>
      </c>
      <c r="N338" s="46">
        <f t="shared" si="69"/>
        <v>309.39999999999998</v>
      </c>
      <c r="O338" s="94"/>
      <c r="P338" s="94"/>
    </row>
    <row r="339" spans="1:16" ht="31.5" x14ac:dyDescent="0.2">
      <c r="A339" s="57"/>
      <c r="B339" s="58" t="s">
        <v>35</v>
      </c>
      <c r="C339" s="59" t="s">
        <v>401</v>
      </c>
      <c r="D339" s="60" t="s">
        <v>36</v>
      </c>
      <c r="E339" s="108"/>
      <c r="F339" s="61">
        <v>280</v>
      </c>
      <c r="G339" s="61">
        <f>29.4-200</f>
        <v>-170.6</v>
      </c>
      <c r="H339" s="61">
        <f>280+29.4</f>
        <v>309.39999999999998</v>
      </c>
      <c r="I339" s="62">
        <v>0</v>
      </c>
      <c r="J339" s="115"/>
      <c r="K339" s="62">
        <v>0</v>
      </c>
      <c r="L339" s="61">
        <f t="shared" ref="L339:N342" si="70">SUM(F339)</f>
        <v>280</v>
      </c>
      <c r="M339" s="61">
        <f t="shared" si="70"/>
        <v>-170.6</v>
      </c>
      <c r="N339" s="61">
        <f t="shared" si="70"/>
        <v>309.39999999999998</v>
      </c>
      <c r="O339" s="94"/>
      <c r="P339" s="94"/>
    </row>
    <row r="340" spans="1:16" ht="15.75" x14ac:dyDescent="0.2">
      <c r="A340" s="133"/>
      <c r="B340" s="43" t="s">
        <v>54</v>
      </c>
      <c r="C340" s="59" t="s">
        <v>401</v>
      </c>
      <c r="D340" s="146" t="s">
        <v>55</v>
      </c>
      <c r="E340" s="146"/>
      <c r="F340" s="134"/>
      <c r="G340" s="134">
        <v>200</v>
      </c>
      <c r="H340" s="134">
        <f>SUM(G340)</f>
        <v>200</v>
      </c>
      <c r="I340" s="135"/>
      <c r="J340" s="135"/>
      <c r="K340" s="135"/>
      <c r="L340" s="134"/>
      <c r="M340" s="134">
        <f>SUM(G340)</f>
        <v>200</v>
      </c>
      <c r="N340" s="134">
        <f>SUM(H340)</f>
        <v>200</v>
      </c>
      <c r="O340" s="94"/>
      <c r="P340" s="94"/>
    </row>
    <row r="341" spans="1:16" ht="31.5" x14ac:dyDescent="0.2">
      <c r="A341" s="133"/>
      <c r="B341" s="122" t="s">
        <v>402</v>
      </c>
      <c r="C341" s="44" t="s">
        <v>403</v>
      </c>
      <c r="D341" s="124"/>
      <c r="E341" s="124"/>
      <c r="F341" s="134">
        <v>399.7</v>
      </c>
      <c r="G341" s="134"/>
      <c r="H341" s="134">
        <f>SUM(F341)</f>
        <v>399.7</v>
      </c>
      <c r="I341" s="135"/>
      <c r="J341" s="135"/>
      <c r="K341" s="135"/>
      <c r="L341" s="134">
        <f t="shared" si="70"/>
        <v>399.7</v>
      </c>
      <c r="M341" s="134">
        <f t="shared" si="70"/>
        <v>0</v>
      </c>
      <c r="N341" s="134">
        <f t="shared" si="70"/>
        <v>399.7</v>
      </c>
      <c r="O341" s="94"/>
      <c r="P341" s="94"/>
    </row>
    <row r="342" spans="1:16" ht="32.25" thickBot="1" x14ac:dyDescent="0.25">
      <c r="A342" s="133"/>
      <c r="B342" s="58" t="s">
        <v>35</v>
      </c>
      <c r="C342" s="44" t="s">
        <v>403</v>
      </c>
      <c r="D342" s="124" t="s">
        <v>36</v>
      </c>
      <c r="E342" s="124"/>
      <c r="F342" s="134">
        <v>399.7</v>
      </c>
      <c r="G342" s="134"/>
      <c r="H342" s="134">
        <f>SUM(F342)</f>
        <v>399.7</v>
      </c>
      <c r="I342" s="135"/>
      <c r="J342" s="135"/>
      <c r="K342" s="135"/>
      <c r="L342" s="134">
        <f t="shared" si="70"/>
        <v>399.7</v>
      </c>
      <c r="M342" s="134">
        <f t="shared" si="70"/>
        <v>0</v>
      </c>
      <c r="N342" s="134">
        <f t="shared" si="70"/>
        <v>399.7</v>
      </c>
      <c r="O342" s="94"/>
      <c r="P342" s="94"/>
    </row>
    <row r="343" spans="1:16" ht="16.5" customHeight="1" thickBot="1" x14ac:dyDescent="0.25">
      <c r="A343" s="26" t="s">
        <v>404</v>
      </c>
      <c r="B343" s="461" t="s">
        <v>405</v>
      </c>
      <c r="C343" s="462"/>
      <c r="D343" s="463"/>
      <c r="E343" s="143"/>
      <c r="F343" s="27">
        <f>F344+F348+F354+F370+F374</f>
        <v>40658.100000000006</v>
      </c>
      <c r="G343" s="27">
        <f>G344+G348+G354+G370+G374</f>
        <v>677.1</v>
      </c>
      <c r="H343" s="27">
        <f>H344+H348+H354+H370+H374</f>
        <v>41335.199999999997</v>
      </c>
      <c r="I343" s="28">
        <f>I344+I348+I354+I370</f>
        <v>768.1</v>
      </c>
      <c r="J343" s="27">
        <f>J344+J348+J354+J370</f>
        <v>0</v>
      </c>
      <c r="K343" s="28">
        <f>K344+K348+K354+K370</f>
        <v>768.1</v>
      </c>
      <c r="L343" s="27">
        <f>L344+L348+L354+L370+L374</f>
        <v>41426.199999999997</v>
      </c>
      <c r="M343" s="27">
        <f>M344+M348+M354+M370+M374</f>
        <v>677.1</v>
      </c>
      <c r="N343" s="27">
        <f>N344+N348+N354+N370+N374</f>
        <v>42103.3</v>
      </c>
      <c r="O343" s="93"/>
      <c r="P343" s="93"/>
    </row>
    <row r="344" spans="1:16" ht="31.5" x14ac:dyDescent="0.2">
      <c r="A344" s="16" t="s">
        <v>406</v>
      </c>
      <c r="B344" s="29" t="s">
        <v>407</v>
      </c>
      <c r="C344" s="30" t="s">
        <v>408</v>
      </c>
      <c r="D344" s="31" t="s">
        <v>26</v>
      </c>
      <c r="E344" s="109"/>
      <c r="F344" s="32">
        <f t="shared" ref="F344:N346" si="71">F345</f>
        <v>2021.3</v>
      </c>
      <c r="G344" s="32">
        <f t="shared" si="71"/>
        <v>0</v>
      </c>
      <c r="H344" s="32">
        <f t="shared" si="71"/>
        <v>2021.3</v>
      </c>
      <c r="I344" s="33">
        <f t="shared" si="71"/>
        <v>0</v>
      </c>
      <c r="J344" s="32">
        <f>J345</f>
        <v>0</v>
      </c>
      <c r="K344" s="33">
        <f t="shared" si="71"/>
        <v>0</v>
      </c>
      <c r="L344" s="32">
        <f t="shared" si="71"/>
        <v>2021.3</v>
      </c>
      <c r="M344" s="32">
        <f t="shared" si="71"/>
        <v>0</v>
      </c>
      <c r="N344" s="32">
        <f t="shared" si="71"/>
        <v>2021.3</v>
      </c>
      <c r="O344" s="98"/>
      <c r="P344" s="98"/>
    </row>
    <row r="345" spans="1:16" ht="22.15" customHeight="1" x14ac:dyDescent="0.2">
      <c r="A345" s="49"/>
      <c r="B345" s="50" t="s">
        <v>409</v>
      </c>
      <c r="C345" s="51" t="s">
        <v>410</v>
      </c>
      <c r="D345" s="52" t="s">
        <v>26</v>
      </c>
      <c r="E345" s="106"/>
      <c r="F345" s="63">
        <f t="shared" si="71"/>
        <v>2021.3</v>
      </c>
      <c r="G345" s="63">
        <f t="shared" si="71"/>
        <v>0</v>
      </c>
      <c r="H345" s="63">
        <f t="shared" si="71"/>
        <v>2021.3</v>
      </c>
      <c r="I345" s="64">
        <f t="shared" si="71"/>
        <v>0</v>
      </c>
      <c r="J345" s="63">
        <f>J346</f>
        <v>0</v>
      </c>
      <c r="K345" s="64">
        <f t="shared" si="71"/>
        <v>0</v>
      </c>
      <c r="L345" s="63">
        <f t="shared" si="71"/>
        <v>2021.3</v>
      </c>
      <c r="M345" s="63">
        <f t="shared" si="71"/>
        <v>0</v>
      </c>
      <c r="N345" s="63">
        <f t="shared" si="71"/>
        <v>2021.3</v>
      </c>
      <c r="O345" s="99"/>
      <c r="P345" s="99"/>
    </row>
    <row r="346" spans="1:16" ht="31.5" x14ac:dyDescent="0.2">
      <c r="A346" s="42"/>
      <c r="B346" s="43" t="s">
        <v>93</v>
      </c>
      <c r="C346" s="44" t="s">
        <v>411</v>
      </c>
      <c r="D346" s="45" t="s">
        <v>26</v>
      </c>
      <c r="E346" s="105"/>
      <c r="F346" s="65">
        <f t="shared" si="71"/>
        <v>2021.3</v>
      </c>
      <c r="G346" s="65">
        <f t="shared" si="71"/>
        <v>0</v>
      </c>
      <c r="H346" s="65">
        <f t="shared" si="71"/>
        <v>2021.3</v>
      </c>
      <c r="I346" s="66">
        <f t="shared" si="71"/>
        <v>0</v>
      </c>
      <c r="J346" s="89"/>
      <c r="K346" s="66">
        <f t="shared" si="71"/>
        <v>0</v>
      </c>
      <c r="L346" s="65">
        <f t="shared" si="71"/>
        <v>2021.3</v>
      </c>
      <c r="M346" s="65">
        <f t="shared" si="71"/>
        <v>0</v>
      </c>
      <c r="N346" s="65">
        <f t="shared" si="71"/>
        <v>2021.3</v>
      </c>
      <c r="O346" s="100"/>
      <c r="P346" s="100"/>
    </row>
    <row r="347" spans="1:16" ht="69" customHeight="1" x14ac:dyDescent="0.2">
      <c r="A347" s="42"/>
      <c r="B347" s="43" t="s">
        <v>31</v>
      </c>
      <c r="C347" s="44" t="s">
        <v>411</v>
      </c>
      <c r="D347" s="45" t="s">
        <v>32</v>
      </c>
      <c r="E347" s="105"/>
      <c r="F347" s="65">
        <v>2021.3</v>
      </c>
      <c r="G347" s="65"/>
      <c r="H347" s="65">
        <v>2021.3</v>
      </c>
      <c r="I347" s="66">
        <v>0</v>
      </c>
      <c r="J347" s="89"/>
      <c r="K347" s="66">
        <v>0</v>
      </c>
      <c r="L347" s="65">
        <v>2021.3</v>
      </c>
      <c r="M347" s="65"/>
      <c r="N347" s="65">
        <v>2021.3</v>
      </c>
      <c r="O347" s="100"/>
      <c r="P347" s="100"/>
    </row>
    <row r="348" spans="1:16" ht="31.5" x14ac:dyDescent="0.2">
      <c r="A348" s="19" t="s">
        <v>412</v>
      </c>
      <c r="B348" s="20" t="s">
        <v>413</v>
      </c>
      <c r="C348" s="21" t="s">
        <v>414</v>
      </c>
      <c r="D348" s="22" t="s">
        <v>26</v>
      </c>
      <c r="E348" s="104"/>
      <c r="F348" s="34">
        <f t="shared" ref="F348:N348" si="72">F349</f>
        <v>1395.6</v>
      </c>
      <c r="G348" s="34">
        <f t="shared" si="72"/>
        <v>0</v>
      </c>
      <c r="H348" s="34">
        <f t="shared" si="72"/>
        <v>1395.6</v>
      </c>
      <c r="I348" s="35">
        <f t="shared" si="72"/>
        <v>0</v>
      </c>
      <c r="J348" s="34">
        <f t="shared" si="72"/>
        <v>0</v>
      </c>
      <c r="K348" s="35">
        <f t="shared" si="72"/>
        <v>0</v>
      </c>
      <c r="L348" s="34">
        <f t="shared" si="72"/>
        <v>1395.6</v>
      </c>
      <c r="M348" s="34">
        <f t="shared" si="72"/>
        <v>0</v>
      </c>
      <c r="N348" s="34">
        <f t="shared" si="72"/>
        <v>1395.6</v>
      </c>
      <c r="O348" s="98"/>
      <c r="P348" s="98"/>
    </row>
    <row r="349" spans="1:16" ht="31.5" x14ac:dyDescent="0.2">
      <c r="A349" s="49"/>
      <c r="B349" s="50" t="s">
        <v>415</v>
      </c>
      <c r="C349" s="51" t="s">
        <v>416</v>
      </c>
      <c r="D349" s="52" t="s">
        <v>26</v>
      </c>
      <c r="E349" s="106"/>
      <c r="F349" s="63">
        <f t="shared" ref="F349:N349" si="73">F350+F352</f>
        <v>1395.6</v>
      </c>
      <c r="G349" s="63">
        <f t="shared" si="73"/>
        <v>0</v>
      </c>
      <c r="H349" s="63">
        <f t="shared" si="73"/>
        <v>1395.6</v>
      </c>
      <c r="I349" s="64">
        <f t="shared" si="73"/>
        <v>0</v>
      </c>
      <c r="J349" s="63">
        <f t="shared" si="73"/>
        <v>0</v>
      </c>
      <c r="K349" s="64">
        <f t="shared" si="73"/>
        <v>0</v>
      </c>
      <c r="L349" s="63">
        <f t="shared" si="73"/>
        <v>1395.6</v>
      </c>
      <c r="M349" s="63">
        <f t="shared" si="73"/>
        <v>0</v>
      </c>
      <c r="N349" s="63">
        <f t="shared" si="73"/>
        <v>1395.6</v>
      </c>
      <c r="O349" s="99"/>
      <c r="P349" s="99"/>
    </row>
    <row r="350" spans="1:16" ht="31.5" x14ac:dyDescent="0.2">
      <c r="A350" s="42"/>
      <c r="B350" s="43" t="s">
        <v>93</v>
      </c>
      <c r="C350" s="44" t="s">
        <v>417</v>
      </c>
      <c r="D350" s="45" t="s">
        <v>26</v>
      </c>
      <c r="E350" s="105"/>
      <c r="F350" s="65">
        <f>F351</f>
        <v>8.1</v>
      </c>
      <c r="G350" s="65">
        <f>G351</f>
        <v>0</v>
      </c>
      <c r="H350" s="65">
        <f>H351</f>
        <v>8.1</v>
      </c>
      <c r="I350" s="66">
        <f>I351</f>
        <v>0</v>
      </c>
      <c r="J350" s="89"/>
      <c r="K350" s="66">
        <f>K351</f>
        <v>0</v>
      </c>
      <c r="L350" s="65">
        <f>L351</f>
        <v>8.1</v>
      </c>
      <c r="M350" s="65">
        <f>M351</f>
        <v>0</v>
      </c>
      <c r="N350" s="65">
        <f>N351</f>
        <v>8.1</v>
      </c>
      <c r="O350" s="100"/>
      <c r="P350" s="100"/>
    </row>
    <row r="351" spans="1:16" ht="31.5" x14ac:dyDescent="0.2">
      <c r="A351" s="42"/>
      <c r="B351" s="43" t="s">
        <v>35</v>
      </c>
      <c r="C351" s="44" t="s">
        <v>417</v>
      </c>
      <c r="D351" s="45" t="s">
        <v>36</v>
      </c>
      <c r="E351" s="105"/>
      <c r="F351" s="79">
        <f>8+0.1</f>
        <v>8.1</v>
      </c>
      <c r="G351" s="79"/>
      <c r="H351" s="79">
        <f>8+0.1</f>
        <v>8.1</v>
      </c>
      <c r="I351" s="66">
        <v>0</v>
      </c>
      <c r="J351" s="117"/>
      <c r="K351" s="66">
        <v>0</v>
      </c>
      <c r="L351" s="79">
        <f>8+0.1</f>
        <v>8.1</v>
      </c>
      <c r="M351" s="79"/>
      <c r="N351" s="79">
        <f>8+0.1</f>
        <v>8.1</v>
      </c>
      <c r="O351" s="100"/>
      <c r="P351" s="100"/>
    </row>
    <row r="352" spans="1:16" ht="50.45" customHeight="1" x14ac:dyDescent="0.2">
      <c r="A352" s="42"/>
      <c r="B352" s="43" t="s">
        <v>418</v>
      </c>
      <c r="C352" s="44" t="s">
        <v>419</v>
      </c>
      <c r="D352" s="45" t="s">
        <v>26</v>
      </c>
      <c r="E352" s="105"/>
      <c r="F352" s="65">
        <f>F353</f>
        <v>1387.5</v>
      </c>
      <c r="G352" s="65">
        <f>G353</f>
        <v>0</v>
      </c>
      <c r="H352" s="65">
        <f>H353</f>
        <v>1387.5</v>
      </c>
      <c r="I352" s="66">
        <f>I353</f>
        <v>0</v>
      </c>
      <c r="J352" s="89"/>
      <c r="K352" s="66">
        <f>K353</f>
        <v>0</v>
      </c>
      <c r="L352" s="65">
        <f>L353</f>
        <v>1387.5</v>
      </c>
      <c r="M352" s="65">
        <f>M353</f>
        <v>0</v>
      </c>
      <c r="N352" s="65">
        <f>N353</f>
        <v>1387.5</v>
      </c>
      <c r="O352" s="100"/>
      <c r="P352" s="100"/>
    </row>
    <row r="353" spans="1:16" ht="15.75" x14ac:dyDescent="0.2">
      <c r="A353" s="42"/>
      <c r="B353" s="43" t="s">
        <v>278</v>
      </c>
      <c r="C353" s="44" t="s">
        <v>419</v>
      </c>
      <c r="D353" s="45" t="s">
        <v>279</v>
      </c>
      <c r="E353" s="105"/>
      <c r="F353" s="79">
        <f>1387.6-0.1</f>
        <v>1387.5</v>
      </c>
      <c r="G353" s="79"/>
      <c r="H353" s="79">
        <f>1387.6-0.1</f>
        <v>1387.5</v>
      </c>
      <c r="I353" s="66">
        <v>0</v>
      </c>
      <c r="J353" s="117"/>
      <c r="K353" s="66">
        <v>0</v>
      </c>
      <c r="L353" s="79">
        <f>1387.6-0.1</f>
        <v>1387.5</v>
      </c>
      <c r="M353" s="79"/>
      <c r="N353" s="79">
        <f>1387.6-0.1</f>
        <v>1387.5</v>
      </c>
      <c r="O353" s="100"/>
      <c r="P353" s="100"/>
    </row>
    <row r="354" spans="1:16" ht="31.5" x14ac:dyDescent="0.2">
      <c r="A354" s="19" t="s">
        <v>420</v>
      </c>
      <c r="B354" s="20" t="s">
        <v>421</v>
      </c>
      <c r="C354" s="21" t="s">
        <v>422</v>
      </c>
      <c r="D354" s="22" t="s">
        <v>26</v>
      </c>
      <c r="E354" s="104"/>
      <c r="F354" s="34">
        <f t="shared" ref="F354:N354" si="74">F355+F360+F366</f>
        <v>36676.100000000006</v>
      </c>
      <c r="G354" s="34">
        <f t="shared" si="74"/>
        <v>647.1</v>
      </c>
      <c r="H354" s="34">
        <f t="shared" si="74"/>
        <v>37323.199999999997</v>
      </c>
      <c r="I354" s="35">
        <f t="shared" si="74"/>
        <v>768.1</v>
      </c>
      <c r="J354" s="34">
        <f t="shared" si="74"/>
        <v>0</v>
      </c>
      <c r="K354" s="35">
        <f t="shared" si="74"/>
        <v>768.1</v>
      </c>
      <c r="L354" s="34">
        <f t="shared" si="74"/>
        <v>37444.199999999997</v>
      </c>
      <c r="M354" s="34">
        <f t="shared" si="74"/>
        <v>647.1</v>
      </c>
      <c r="N354" s="34">
        <f t="shared" si="74"/>
        <v>38091.300000000003</v>
      </c>
      <c r="O354" s="98"/>
      <c r="P354" s="98"/>
    </row>
    <row r="355" spans="1:16" ht="31.5" x14ac:dyDescent="0.2">
      <c r="A355" s="49"/>
      <c r="B355" s="50" t="s">
        <v>423</v>
      </c>
      <c r="C355" s="51" t="s">
        <v>424</v>
      </c>
      <c r="D355" s="52" t="s">
        <v>26</v>
      </c>
      <c r="E355" s="106"/>
      <c r="F355" s="63">
        <f t="shared" ref="F355:N355" si="75">F356</f>
        <v>30983.100000000002</v>
      </c>
      <c r="G355" s="63">
        <f t="shared" si="75"/>
        <v>647.1</v>
      </c>
      <c r="H355" s="63">
        <f t="shared" si="75"/>
        <v>31630.2</v>
      </c>
      <c r="I355" s="64">
        <f t="shared" si="75"/>
        <v>0</v>
      </c>
      <c r="J355" s="63">
        <f t="shared" si="75"/>
        <v>0</v>
      </c>
      <c r="K355" s="64">
        <f t="shared" si="75"/>
        <v>0</v>
      </c>
      <c r="L355" s="63">
        <f t="shared" si="75"/>
        <v>30983.100000000002</v>
      </c>
      <c r="M355" s="63">
        <f t="shared" si="75"/>
        <v>647.1</v>
      </c>
      <c r="N355" s="63">
        <f t="shared" si="75"/>
        <v>31630.2</v>
      </c>
      <c r="O355" s="99"/>
      <c r="P355" s="99"/>
    </row>
    <row r="356" spans="1:16" ht="31.5" x14ac:dyDescent="0.2">
      <c r="A356" s="42"/>
      <c r="B356" s="43" t="s">
        <v>93</v>
      </c>
      <c r="C356" s="44" t="s">
        <v>425</v>
      </c>
      <c r="D356" s="45" t="s">
        <v>26</v>
      </c>
      <c r="E356" s="105"/>
      <c r="F356" s="65">
        <f>F357+F358+F359</f>
        <v>30983.100000000002</v>
      </c>
      <c r="G356" s="65">
        <f>G357+G358+G359</f>
        <v>647.1</v>
      </c>
      <c r="H356" s="65">
        <f>H357+H358+H359</f>
        <v>31630.2</v>
      </c>
      <c r="I356" s="66">
        <f>I357+I358+I359</f>
        <v>0</v>
      </c>
      <c r="J356" s="89"/>
      <c r="K356" s="66">
        <f>K357+K358+K359</f>
        <v>0</v>
      </c>
      <c r="L356" s="65">
        <f>L357+L358+L359</f>
        <v>30983.100000000002</v>
      </c>
      <c r="M356" s="65">
        <f>M357+M358+M359</f>
        <v>647.1</v>
      </c>
      <c r="N356" s="65">
        <f>N357+N358+N359</f>
        <v>31630.2</v>
      </c>
      <c r="O356" s="100"/>
      <c r="P356" s="100"/>
    </row>
    <row r="357" spans="1:16" ht="70.150000000000006" customHeight="1" x14ac:dyDescent="0.2">
      <c r="A357" s="42"/>
      <c r="B357" s="43" t="s">
        <v>31</v>
      </c>
      <c r="C357" s="44" t="s">
        <v>425</v>
      </c>
      <c r="D357" s="45" t="s">
        <v>32</v>
      </c>
      <c r="E357" s="105"/>
      <c r="F357" s="65">
        <v>30651.7</v>
      </c>
      <c r="G357" s="65">
        <v>647.1</v>
      </c>
      <c r="H357" s="65">
        <f>30651.7+G357</f>
        <v>31298.799999999999</v>
      </c>
      <c r="I357" s="66">
        <v>0</v>
      </c>
      <c r="J357" s="89"/>
      <c r="K357" s="66">
        <v>0</v>
      </c>
      <c r="L357" s="65">
        <f>SUM(F357)</f>
        <v>30651.7</v>
      </c>
      <c r="M357" s="65">
        <f>SUM(G357)</f>
        <v>647.1</v>
      </c>
      <c r="N357" s="65">
        <f>SUM(M357)+L357</f>
        <v>31298.799999999999</v>
      </c>
      <c r="O357" s="100"/>
      <c r="P357" s="100"/>
    </row>
    <row r="358" spans="1:16" ht="31.5" x14ac:dyDescent="0.2">
      <c r="A358" s="42"/>
      <c r="B358" s="43" t="s">
        <v>35</v>
      </c>
      <c r="C358" s="44" t="s">
        <v>425</v>
      </c>
      <c r="D358" s="45" t="s">
        <v>36</v>
      </c>
      <c r="E358" s="105"/>
      <c r="F358" s="65">
        <v>291.39999999999998</v>
      </c>
      <c r="G358" s="65"/>
      <c r="H358" s="65">
        <v>291.39999999999998</v>
      </c>
      <c r="I358" s="66">
        <v>0</v>
      </c>
      <c r="J358" s="89"/>
      <c r="K358" s="66">
        <v>0</v>
      </c>
      <c r="L358" s="65">
        <v>291.39999999999998</v>
      </c>
      <c r="M358" s="65"/>
      <c r="N358" s="65">
        <v>291.39999999999998</v>
      </c>
      <c r="O358" s="100"/>
      <c r="P358" s="100"/>
    </row>
    <row r="359" spans="1:16" ht="15.75" x14ac:dyDescent="0.2">
      <c r="A359" s="42"/>
      <c r="B359" s="43" t="s">
        <v>41</v>
      </c>
      <c r="C359" s="44" t="s">
        <v>425</v>
      </c>
      <c r="D359" s="45" t="s">
        <v>42</v>
      </c>
      <c r="E359" s="105"/>
      <c r="F359" s="65">
        <v>40</v>
      </c>
      <c r="G359" s="65"/>
      <c r="H359" s="65">
        <v>40</v>
      </c>
      <c r="I359" s="66">
        <v>0</v>
      </c>
      <c r="J359" s="89"/>
      <c r="K359" s="66">
        <v>0</v>
      </c>
      <c r="L359" s="65">
        <v>40</v>
      </c>
      <c r="M359" s="65"/>
      <c r="N359" s="65">
        <v>40</v>
      </c>
      <c r="O359" s="100"/>
      <c r="P359" s="100"/>
    </row>
    <row r="360" spans="1:16" ht="21.6" customHeight="1" x14ac:dyDescent="0.2">
      <c r="A360" s="49"/>
      <c r="B360" s="43" t="s">
        <v>426</v>
      </c>
      <c r="C360" s="44" t="s">
        <v>427</v>
      </c>
      <c r="D360" s="45" t="s">
        <v>26</v>
      </c>
      <c r="E360" s="105"/>
      <c r="F360" s="65">
        <f>F364</f>
        <v>0</v>
      </c>
      <c r="G360" s="65">
        <f>G364</f>
        <v>0</v>
      </c>
      <c r="H360" s="65">
        <f>H364</f>
        <v>0</v>
      </c>
      <c r="I360" s="66">
        <f>I364+I361</f>
        <v>768.1</v>
      </c>
      <c r="J360" s="89"/>
      <c r="K360" s="66">
        <f>K364+K361</f>
        <v>768.1</v>
      </c>
      <c r="L360" s="66">
        <f>L364+L361</f>
        <v>768.1</v>
      </c>
      <c r="M360" s="65">
        <f>M364</f>
        <v>0</v>
      </c>
      <c r="N360" s="66">
        <f>N364+N361</f>
        <v>768.1</v>
      </c>
      <c r="O360" s="100"/>
      <c r="P360" s="100"/>
    </row>
    <row r="361" spans="1:16" ht="125.45" customHeight="1" x14ac:dyDescent="0.2">
      <c r="A361" s="49"/>
      <c r="B361" s="127" t="s">
        <v>428</v>
      </c>
      <c r="C361" s="44" t="s">
        <v>429</v>
      </c>
      <c r="D361" s="45"/>
      <c r="E361" s="105"/>
      <c r="F361" s="65"/>
      <c r="G361" s="65"/>
      <c r="H361" s="65"/>
      <c r="I361" s="66">
        <f>SUM(I362+I363)</f>
        <v>755.7</v>
      </c>
      <c r="J361" s="89"/>
      <c r="K361" s="66">
        <f>SUM(K362+K363)</f>
        <v>755.7</v>
      </c>
      <c r="L361" s="66">
        <f>SUM(L362+L363)</f>
        <v>755.7</v>
      </c>
      <c r="M361" s="65"/>
      <c r="N361" s="66">
        <f>SUM(N362+N363)</f>
        <v>755.7</v>
      </c>
      <c r="O361" s="100"/>
      <c r="P361" s="100"/>
    </row>
    <row r="362" spans="1:16" ht="66" customHeight="1" x14ac:dyDescent="0.2">
      <c r="A362" s="49"/>
      <c r="B362" s="43" t="s">
        <v>31</v>
      </c>
      <c r="C362" s="44" t="s">
        <v>429</v>
      </c>
      <c r="D362" s="45" t="s">
        <v>32</v>
      </c>
      <c r="E362" s="105"/>
      <c r="F362" s="65"/>
      <c r="G362" s="65"/>
      <c r="H362" s="65"/>
      <c r="I362" s="66">
        <v>674.7</v>
      </c>
      <c r="J362" s="89"/>
      <c r="K362" s="66">
        <v>674.7</v>
      </c>
      <c r="L362" s="66">
        <v>674.7</v>
      </c>
      <c r="M362" s="65"/>
      <c r="N362" s="66">
        <v>674.7</v>
      </c>
      <c r="O362" s="100"/>
      <c r="P362" s="100"/>
    </row>
    <row r="363" spans="1:16" ht="23.45" customHeight="1" x14ac:dyDescent="0.2">
      <c r="A363" s="49"/>
      <c r="B363" s="43" t="s">
        <v>35</v>
      </c>
      <c r="C363" s="44" t="s">
        <v>429</v>
      </c>
      <c r="D363" s="45" t="s">
        <v>36</v>
      </c>
      <c r="E363" s="105"/>
      <c r="F363" s="65"/>
      <c r="G363" s="65"/>
      <c r="H363" s="65"/>
      <c r="I363" s="66">
        <v>81</v>
      </c>
      <c r="J363" s="89"/>
      <c r="K363" s="66">
        <v>81</v>
      </c>
      <c r="L363" s="66">
        <v>81</v>
      </c>
      <c r="M363" s="65"/>
      <c r="N363" s="66">
        <v>81</v>
      </c>
      <c r="O363" s="100"/>
      <c r="P363" s="100"/>
    </row>
    <row r="364" spans="1:16" ht="47.25" x14ac:dyDescent="0.2">
      <c r="A364" s="42"/>
      <c r="B364" s="43" t="s">
        <v>430</v>
      </c>
      <c r="C364" s="44" t="s">
        <v>431</v>
      </c>
      <c r="D364" s="45" t="s">
        <v>26</v>
      </c>
      <c r="E364" s="105"/>
      <c r="F364" s="65">
        <f t="shared" ref="F364:N364" si="76">F365</f>
        <v>0</v>
      </c>
      <c r="G364" s="65">
        <f t="shared" si="76"/>
        <v>0</v>
      </c>
      <c r="H364" s="65">
        <f t="shared" si="76"/>
        <v>0</v>
      </c>
      <c r="I364" s="66">
        <f t="shared" si="76"/>
        <v>12.4</v>
      </c>
      <c r="J364" s="89"/>
      <c r="K364" s="66">
        <f t="shared" si="76"/>
        <v>12.4</v>
      </c>
      <c r="L364" s="65">
        <f t="shared" si="76"/>
        <v>12.4</v>
      </c>
      <c r="M364" s="65">
        <f t="shared" si="76"/>
        <v>0</v>
      </c>
      <c r="N364" s="65">
        <f t="shared" si="76"/>
        <v>12.4</v>
      </c>
      <c r="O364" s="100"/>
      <c r="P364" s="100"/>
    </row>
    <row r="365" spans="1:16" ht="31.5" x14ac:dyDescent="0.2">
      <c r="A365" s="42"/>
      <c r="B365" s="43" t="s">
        <v>35</v>
      </c>
      <c r="C365" s="44" t="s">
        <v>431</v>
      </c>
      <c r="D365" s="45" t="s">
        <v>36</v>
      </c>
      <c r="E365" s="105"/>
      <c r="F365" s="65">
        <v>0</v>
      </c>
      <c r="G365" s="65">
        <v>0</v>
      </c>
      <c r="H365" s="65">
        <v>0</v>
      </c>
      <c r="I365" s="66">
        <v>12.4</v>
      </c>
      <c r="J365" s="89"/>
      <c r="K365" s="66">
        <v>12.4</v>
      </c>
      <c r="L365" s="65">
        <v>12.4</v>
      </c>
      <c r="M365" s="65">
        <v>0</v>
      </c>
      <c r="N365" s="65">
        <v>12.4</v>
      </c>
      <c r="O365" s="100"/>
      <c r="P365" s="100"/>
    </row>
    <row r="366" spans="1:16" ht="15.75" x14ac:dyDescent="0.2">
      <c r="A366" s="49"/>
      <c r="B366" s="50" t="s">
        <v>432</v>
      </c>
      <c r="C366" s="51" t="s">
        <v>433</v>
      </c>
      <c r="D366" s="52" t="s">
        <v>26</v>
      </c>
      <c r="E366" s="106"/>
      <c r="F366" s="63">
        <f t="shared" ref="F366:N366" si="77">F367</f>
        <v>5693</v>
      </c>
      <c r="G366" s="63">
        <f t="shared" si="77"/>
        <v>0</v>
      </c>
      <c r="H366" s="63">
        <f t="shared" si="77"/>
        <v>5693</v>
      </c>
      <c r="I366" s="64">
        <f t="shared" si="77"/>
        <v>0</v>
      </c>
      <c r="J366" s="63">
        <f t="shared" si="77"/>
        <v>0</v>
      </c>
      <c r="K366" s="64">
        <f t="shared" si="77"/>
        <v>0</v>
      </c>
      <c r="L366" s="63">
        <f t="shared" si="77"/>
        <v>5693</v>
      </c>
      <c r="M366" s="63">
        <f t="shared" si="77"/>
        <v>0</v>
      </c>
      <c r="N366" s="63">
        <f t="shared" si="77"/>
        <v>5693</v>
      </c>
      <c r="O366" s="99"/>
      <c r="P366" s="99"/>
    </row>
    <row r="367" spans="1:16" ht="31.5" x14ac:dyDescent="0.2">
      <c r="A367" s="42"/>
      <c r="B367" s="43" t="s">
        <v>434</v>
      </c>
      <c r="C367" s="44" t="s">
        <v>435</v>
      </c>
      <c r="D367" s="45" t="s">
        <v>26</v>
      </c>
      <c r="E367" s="105"/>
      <c r="F367" s="65">
        <f>F369+F368</f>
        <v>5693</v>
      </c>
      <c r="G367" s="65">
        <f>SUM(G369)+G368</f>
        <v>0</v>
      </c>
      <c r="H367" s="65">
        <f>H369+H368</f>
        <v>5693</v>
      </c>
      <c r="I367" s="66">
        <f>I369</f>
        <v>0</v>
      </c>
      <c r="J367" s="89"/>
      <c r="K367" s="66">
        <f>K369</f>
        <v>0</v>
      </c>
      <c r="L367" s="65">
        <f>SUM(F367)</f>
        <v>5693</v>
      </c>
      <c r="M367" s="65">
        <f>SUM(M369)+M368</f>
        <v>0</v>
      </c>
      <c r="N367" s="65">
        <f>SUM(H367)</f>
        <v>5693</v>
      </c>
      <c r="O367" s="100"/>
      <c r="P367" s="100"/>
    </row>
    <row r="368" spans="1:16" ht="31.5" x14ac:dyDescent="0.2">
      <c r="A368" s="42"/>
      <c r="B368" s="43" t="s">
        <v>35</v>
      </c>
      <c r="C368" s="44" t="s">
        <v>435</v>
      </c>
      <c r="D368" s="45" t="s">
        <v>36</v>
      </c>
      <c r="E368" s="105"/>
      <c r="F368" s="65">
        <v>3601.8</v>
      </c>
      <c r="G368" s="65"/>
      <c r="H368" s="65">
        <f>SUM(F368)+G368</f>
        <v>3601.8</v>
      </c>
      <c r="I368" s="66"/>
      <c r="J368" s="89"/>
      <c r="K368" s="66"/>
      <c r="L368" s="65">
        <f>SUM(F368)</f>
        <v>3601.8</v>
      </c>
      <c r="M368" s="65">
        <f>SUM(G368)</f>
        <v>0</v>
      </c>
      <c r="N368" s="65">
        <f>SUM(H368)</f>
        <v>3601.8</v>
      </c>
      <c r="O368" s="100"/>
      <c r="P368" s="100"/>
    </row>
    <row r="369" spans="1:16" ht="15.75" x14ac:dyDescent="0.2">
      <c r="A369" s="42"/>
      <c r="B369" s="43" t="s">
        <v>41</v>
      </c>
      <c r="C369" s="44" t="s">
        <v>435</v>
      </c>
      <c r="D369" s="45" t="s">
        <v>42</v>
      </c>
      <c r="E369" s="105"/>
      <c r="F369" s="65">
        <v>2091.1999999999998</v>
      </c>
      <c r="G369" s="65"/>
      <c r="H369" s="65">
        <f>2091.2+G369</f>
        <v>2091.1999999999998</v>
      </c>
      <c r="I369" s="66">
        <v>0</v>
      </c>
      <c r="J369" s="89"/>
      <c r="K369" s="66">
        <v>0</v>
      </c>
      <c r="L369" s="147">
        <v>1000</v>
      </c>
      <c r="M369" s="147">
        <f>SUM(G369)</f>
        <v>0</v>
      </c>
      <c r="N369" s="147">
        <f>1000+M369</f>
        <v>1000</v>
      </c>
      <c r="O369" s="100"/>
      <c r="P369" s="100"/>
    </row>
    <row r="370" spans="1:16" ht="31.5" hidden="1" x14ac:dyDescent="0.2">
      <c r="A370" s="19" t="s">
        <v>436</v>
      </c>
      <c r="B370" s="20" t="s">
        <v>437</v>
      </c>
      <c r="C370" s="21" t="s">
        <v>438</v>
      </c>
      <c r="D370" s="22" t="s">
        <v>26</v>
      </c>
      <c r="E370" s="104"/>
      <c r="F370" s="34">
        <f>F371</f>
        <v>0</v>
      </c>
      <c r="G370" s="116"/>
      <c r="H370" s="116"/>
      <c r="I370" s="35">
        <f>I371</f>
        <v>0</v>
      </c>
      <c r="J370" s="36"/>
      <c r="K370" s="36"/>
      <c r="L370" s="36"/>
      <c r="M370" s="36"/>
      <c r="N370" s="36">
        <f>N371</f>
        <v>0</v>
      </c>
      <c r="O370" s="98"/>
      <c r="P370" s="98"/>
    </row>
    <row r="371" spans="1:16" ht="31.5" hidden="1" x14ac:dyDescent="0.2">
      <c r="A371" s="42"/>
      <c r="B371" s="43" t="s">
        <v>439</v>
      </c>
      <c r="C371" s="44" t="s">
        <v>440</v>
      </c>
      <c r="D371" s="45" t="s">
        <v>26</v>
      </c>
      <c r="E371" s="105"/>
      <c r="F371" s="65">
        <f>F372</f>
        <v>0</v>
      </c>
      <c r="G371" s="89"/>
      <c r="H371" s="89"/>
      <c r="I371" s="66">
        <f>I372</f>
        <v>0</v>
      </c>
      <c r="J371" s="67"/>
      <c r="K371" s="67"/>
      <c r="L371" s="67"/>
      <c r="M371" s="67"/>
      <c r="N371" s="67">
        <f>N372</f>
        <v>0</v>
      </c>
      <c r="O371" s="100"/>
      <c r="P371" s="100"/>
    </row>
    <row r="372" spans="1:16" ht="31.5" hidden="1" x14ac:dyDescent="0.2">
      <c r="A372" s="42"/>
      <c r="B372" s="43" t="s">
        <v>441</v>
      </c>
      <c r="C372" s="44" t="s">
        <v>442</v>
      </c>
      <c r="D372" s="45" t="s">
        <v>26</v>
      </c>
      <c r="E372" s="105"/>
      <c r="F372" s="65"/>
      <c r="G372" s="89"/>
      <c r="H372" s="89"/>
      <c r="I372" s="66">
        <f>I378</f>
        <v>0</v>
      </c>
      <c r="J372" s="89"/>
      <c r="K372" s="89"/>
      <c r="L372" s="89"/>
      <c r="M372" s="89"/>
      <c r="N372" s="65"/>
      <c r="O372" s="100"/>
      <c r="P372" s="100"/>
    </row>
    <row r="373" spans="1:16" ht="16.5" hidden="1" thickBot="1" x14ac:dyDescent="0.25">
      <c r="A373" s="57"/>
      <c r="B373" s="68" t="s">
        <v>41</v>
      </c>
      <c r="C373" s="69" t="s">
        <v>442</v>
      </c>
      <c r="D373" s="45" t="s">
        <v>42</v>
      </c>
      <c r="E373" s="105"/>
      <c r="F373" s="65"/>
      <c r="G373" s="89"/>
      <c r="H373" s="89"/>
      <c r="I373" s="66">
        <v>0</v>
      </c>
      <c r="J373" s="89"/>
      <c r="K373" s="89"/>
      <c r="L373" s="89"/>
      <c r="M373" s="89"/>
      <c r="N373" s="65"/>
      <c r="O373" s="100"/>
      <c r="P373" s="100"/>
    </row>
    <row r="374" spans="1:16" ht="31.5" x14ac:dyDescent="0.2">
      <c r="A374" s="57"/>
      <c r="B374" s="122" t="s">
        <v>439</v>
      </c>
      <c r="C374" s="124" t="s">
        <v>440</v>
      </c>
      <c r="D374" s="124"/>
      <c r="E374" s="124"/>
      <c r="F374" s="66">
        <v>565.1</v>
      </c>
      <c r="G374" s="66">
        <f>SUM(G376)</f>
        <v>30</v>
      </c>
      <c r="H374" s="66">
        <f>SUM(F374)+G374</f>
        <v>595.1</v>
      </c>
      <c r="I374" s="66"/>
      <c r="J374" s="66"/>
      <c r="K374" s="66"/>
      <c r="L374" s="66">
        <f>SUM(F374)</f>
        <v>565.1</v>
      </c>
      <c r="M374" s="66">
        <f t="shared" ref="M374:N376" si="78">SUM(G374)</f>
        <v>30</v>
      </c>
      <c r="N374" s="66">
        <f t="shared" si="78"/>
        <v>595.1</v>
      </c>
      <c r="O374" s="100"/>
      <c r="P374" s="100"/>
    </row>
    <row r="375" spans="1:16" ht="31.5" x14ac:dyDescent="0.2">
      <c r="A375" s="57"/>
      <c r="B375" s="122" t="s">
        <v>441</v>
      </c>
      <c r="C375" s="125" t="s">
        <v>442</v>
      </c>
      <c r="D375" s="124"/>
      <c r="E375" s="124"/>
      <c r="F375" s="66">
        <v>565.1</v>
      </c>
      <c r="G375" s="66">
        <f>SUM(G376)</f>
        <v>30</v>
      </c>
      <c r="H375" s="66">
        <f>SUM(F375)+G375</f>
        <v>595.1</v>
      </c>
      <c r="I375" s="66"/>
      <c r="J375" s="66"/>
      <c r="K375" s="66"/>
      <c r="L375" s="66">
        <f>SUM(F375)</f>
        <v>565.1</v>
      </c>
      <c r="M375" s="66">
        <f t="shared" si="78"/>
        <v>30</v>
      </c>
      <c r="N375" s="66">
        <f t="shared" si="78"/>
        <v>595.1</v>
      </c>
      <c r="O375" s="100"/>
      <c r="P375" s="100"/>
    </row>
    <row r="376" spans="1:16" ht="15.75" x14ac:dyDescent="0.2">
      <c r="A376" s="57"/>
      <c r="B376" s="43" t="s">
        <v>41</v>
      </c>
      <c r="C376" s="125" t="s">
        <v>442</v>
      </c>
      <c r="D376" s="124" t="s">
        <v>42</v>
      </c>
      <c r="E376" s="124"/>
      <c r="F376" s="66">
        <v>565.1</v>
      </c>
      <c r="G376" s="66">
        <v>30</v>
      </c>
      <c r="H376" s="66">
        <f>SUM(F376)+G376</f>
        <v>595.1</v>
      </c>
      <c r="I376" s="66"/>
      <c r="J376" s="66"/>
      <c r="K376" s="66"/>
      <c r="L376" s="66">
        <f>SUM(F376)</f>
        <v>565.1</v>
      </c>
      <c r="M376" s="66">
        <f t="shared" si="78"/>
        <v>30</v>
      </c>
      <c r="N376" s="66">
        <f t="shared" si="78"/>
        <v>595.1</v>
      </c>
      <c r="O376" s="100"/>
      <c r="P376" s="100"/>
    </row>
    <row r="377" spans="1:16" ht="34.15" customHeight="1" x14ac:dyDescent="0.2">
      <c r="A377" s="57"/>
      <c r="B377" s="464" t="s">
        <v>443</v>
      </c>
      <c r="C377" s="465"/>
      <c r="D377" s="465"/>
      <c r="E377" s="465"/>
      <c r="F377" s="465"/>
      <c r="G377" s="465"/>
      <c r="H377" s="465"/>
      <c r="I377" s="465"/>
      <c r="J377" s="465"/>
      <c r="K377" s="465"/>
      <c r="L377" s="465"/>
      <c r="M377" s="465"/>
      <c r="N377" s="465"/>
      <c r="O377" s="144"/>
      <c r="P377" s="144"/>
    </row>
    <row r="378" spans="1:16" ht="16.5" customHeight="1" thickBot="1" x14ac:dyDescent="0.25">
      <c r="A378" s="70"/>
      <c r="B378" s="466"/>
      <c r="C378" s="467"/>
      <c r="D378" s="467"/>
      <c r="E378" s="467"/>
      <c r="F378" s="467"/>
      <c r="G378" s="467"/>
      <c r="H378" s="467"/>
      <c r="I378" s="467"/>
      <c r="J378" s="467"/>
      <c r="K378" s="467"/>
      <c r="L378" s="467"/>
      <c r="M378" s="467"/>
      <c r="N378" s="467"/>
      <c r="O378" s="144"/>
      <c r="P378" s="144"/>
    </row>
  </sheetData>
  <mergeCells count="18">
    <mergeCell ref="C15:D15"/>
    <mergeCell ref="F15:N15"/>
    <mergeCell ref="B17:D17"/>
    <mergeCell ref="B343:D343"/>
    <mergeCell ref="B377:N378"/>
    <mergeCell ref="A8:N8"/>
    <mergeCell ref="A9:N9"/>
    <mergeCell ref="A10:N10"/>
    <mergeCell ref="A13:A14"/>
    <mergeCell ref="B13:B14"/>
    <mergeCell ref="C13:D13"/>
    <mergeCell ref="F13:N13"/>
    <mergeCell ref="I6:N6"/>
    <mergeCell ref="I1:N1"/>
    <mergeCell ref="I2:N2"/>
    <mergeCell ref="I3:N3"/>
    <mergeCell ref="I4:N4"/>
    <mergeCell ref="I5:N5"/>
  </mergeCells>
  <pageMargins left="0.59055118110236227" right="0.31496062992125984" top="0.31496062992125984" bottom="0.39370078740157483" header="0.51181102362204722" footer="0.19685039370078741"/>
  <pageSetup paperSize="9" scale="50" firstPageNumber="4294967295" orientation="landscape" r:id="rId1"/>
  <headerFooter differentFirst="1" alignWithMargins="0">
    <oddFooter>&amp;C&amp;P</oddFooter>
  </headerFooter>
  <rowBreaks count="1" manualBreakCount="1">
    <brk id="10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24</vt:i4>
      </vt:variant>
    </vt:vector>
  </HeadingPairs>
  <TitlesOfParts>
    <vt:vector size="36" baseType="lpstr">
      <vt:lpstr>декабрь (2)</vt:lpstr>
      <vt:lpstr>декабрь</vt:lpstr>
      <vt:lpstr>ноябрь</vt:lpstr>
      <vt:lpstr>август  (А.Ю.)</vt:lpstr>
      <vt:lpstr>август </vt:lpstr>
      <vt:lpstr>июнь </vt:lpstr>
      <vt:lpstr>апрель</vt:lpstr>
      <vt:lpstr>июль</vt:lpstr>
      <vt:lpstr>март</vt:lpstr>
      <vt:lpstr>февраль</vt:lpstr>
      <vt:lpstr>январь</vt:lpstr>
      <vt:lpstr>проект 2024 ( уточн)</vt:lpstr>
      <vt:lpstr>'август '!Заголовки_для_печати</vt:lpstr>
      <vt:lpstr>'август  (А.Ю.)'!Заголовки_для_печати</vt:lpstr>
      <vt:lpstr>апрель!Заголовки_для_печати</vt:lpstr>
      <vt:lpstr>декабрь!Заголовки_для_печати</vt:lpstr>
      <vt:lpstr>'декабрь (2)'!Заголовки_для_печати</vt:lpstr>
      <vt:lpstr>июль!Заголовки_для_печати</vt:lpstr>
      <vt:lpstr>'июнь '!Заголовки_для_печати</vt:lpstr>
      <vt:lpstr>март!Заголовки_для_печати</vt:lpstr>
      <vt:lpstr>ноябрь!Заголовки_для_печати</vt:lpstr>
      <vt:lpstr>'проект 2024 ( уточн)'!Заголовки_для_печати</vt:lpstr>
      <vt:lpstr>февраль!Заголовки_для_печати</vt:lpstr>
      <vt:lpstr>январь!Заголовки_для_печати</vt:lpstr>
      <vt:lpstr>'август '!Область_печати</vt:lpstr>
      <vt:lpstr>'август  (А.Ю.)'!Область_печати</vt:lpstr>
      <vt:lpstr>апрель!Область_печати</vt:lpstr>
      <vt:lpstr>декабрь!Область_печати</vt:lpstr>
      <vt:lpstr>'декабрь (2)'!Область_печати</vt:lpstr>
      <vt:lpstr>июль!Область_печати</vt:lpstr>
      <vt:lpstr>'июнь '!Область_печати</vt:lpstr>
      <vt:lpstr>март!Область_печати</vt:lpstr>
      <vt:lpstr>ноябрь!Область_печати</vt:lpstr>
      <vt:lpstr>'проект 2024 ( уточн)'!Область_печати</vt:lpstr>
      <vt:lpstr>февраль!Область_печати</vt:lpstr>
      <vt:lpstr>январь!Область_печати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Алина</dc:creator>
  <cp:keywords/>
  <dc:description/>
  <cp:lastModifiedBy>Нагучева Зарина Васильевна</cp:lastModifiedBy>
  <cp:revision/>
  <cp:lastPrinted>2025-04-02T08:48:34Z</cp:lastPrinted>
  <dcterms:created xsi:type="dcterms:W3CDTF">2023-11-10T12:52:29Z</dcterms:created>
  <dcterms:modified xsi:type="dcterms:W3CDTF">2025-06-30T13:28:19Z</dcterms:modified>
  <cp:category/>
  <cp:contentStatus/>
</cp:coreProperties>
</file>