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 yWindow="396" windowWidth="9672"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2025'!$A$18:$O$787</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2025'!$A$1:$G$790</definedName>
    <definedName name="_xlnm.Print_Area" localSheetId="0">'по новой классификации на проек'!$A$1:$G$774</definedName>
  </definedNames>
  <calcPr calcId="144525" iterate="1"/>
</workbook>
</file>

<file path=xl/calcChain.xml><?xml version="1.0" encoding="utf-8"?>
<calcChain xmlns="http://schemas.openxmlformats.org/spreadsheetml/2006/main">
  <c r="G490" i="7" l="1"/>
  <c r="G488" i="7"/>
  <c r="G265" i="7" l="1"/>
  <c r="G267" i="7"/>
  <c r="G649" i="7"/>
  <c r="G648" i="7" s="1"/>
  <c r="G273" i="7"/>
  <c r="G647" i="7"/>
  <c r="G251" i="7"/>
  <c r="G279" i="7"/>
  <c r="G281" i="7"/>
  <c r="G277" i="7"/>
  <c r="G657" i="7" l="1"/>
  <c r="G67" i="7"/>
  <c r="G42" i="7"/>
  <c r="G757" i="7"/>
  <c r="G778" i="7"/>
  <c r="G385" i="7" l="1"/>
  <c r="G383" i="7"/>
  <c r="G185" i="7" l="1"/>
  <c r="G187" i="7"/>
  <c r="G518" i="7" l="1"/>
  <c r="G493" i="7"/>
  <c r="G489" i="7" l="1"/>
  <c r="G179" i="7" l="1"/>
  <c r="G181" i="7"/>
  <c r="G183" i="7" l="1"/>
  <c r="G670" i="7" l="1"/>
  <c r="G624" i="7"/>
  <c r="G174" i="7" l="1"/>
  <c r="G160" i="7" l="1"/>
  <c r="G682" i="7"/>
  <c r="G585" i="7"/>
  <c r="G301" i="7"/>
  <c r="G300" i="7"/>
  <c r="G449" i="7" l="1"/>
  <c r="G443" i="7"/>
  <c r="G575" i="7"/>
  <c r="G539" i="7"/>
  <c r="G378" i="7"/>
  <c r="G405" i="7"/>
  <c r="G414" i="7"/>
  <c r="G411" i="7"/>
  <c r="G735" i="7"/>
  <c r="G673" i="7"/>
  <c r="G135" i="7" l="1"/>
  <c r="G136" i="7"/>
  <c r="G134" i="7" s="1"/>
  <c r="G412" i="7" l="1"/>
  <c r="G705" i="7" l="1"/>
  <c r="G315" i="7"/>
  <c r="G258" i="7"/>
  <c r="G568" i="7"/>
  <c r="G110" i="7"/>
  <c r="G24" i="7"/>
  <c r="G363" i="7"/>
  <c r="G527" i="7"/>
  <c r="G426" i="7"/>
  <c r="G406" i="7"/>
  <c r="G207" i="7"/>
  <c r="G557" i="7" l="1"/>
  <c r="G556" i="7" s="1"/>
  <c r="G193" i="7" l="1"/>
  <c r="G191" i="7"/>
  <c r="G244" i="7"/>
  <c r="G696" i="7"/>
  <c r="G246" i="7"/>
  <c r="G224" i="7"/>
  <c r="G235" i="7"/>
  <c r="G234" i="7"/>
  <c r="G365" i="7"/>
  <c r="G362" i="7"/>
  <c r="G159" i="7"/>
  <c r="G76" i="7"/>
  <c r="G226" i="7" l="1"/>
  <c r="G563" i="7" l="1"/>
  <c r="G700" i="7" l="1"/>
  <c r="G540" i="7"/>
  <c r="G409" i="7"/>
  <c r="G779" i="7" l="1"/>
  <c r="G348" i="7"/>
  <c r="G347" i="7" s="1"/>
  <c r="G346" i="7"/>
  <c r="G225" i="7"/>
  <c r="G445" i="7"/>
  <c r="G495" i="7" l="1"/>
  <c r="G310" i="7"/>
  <c r="G579" i="7"/>
  <c r="G578" i="7" s="1"/>
  <c r="G577" i="7" s="1"/>
  <c r="G654" i="7"/>
  <c r="G114" i="7"/>
  <c r="G40" i="7"/>
  <c r="G39" i="7"/>
  <c r="G74" i="7"/>
  <c r="G158" i="7" l="1"/>
  <c r="G262" i="7"/>
  <c r="G260" i="7"/>
  <c r="G372" i="7"/>
  <c r="G376" i="7"/>
  <c r="G302" i="7"/>
  <c r="G701" i="7" l="1"/>
  <c r="G287" i="7" l="1"/>
  <c r="G223" i="7"/>
  <c r="G35" i="7"/>
  <c r="G442" i="7"/>
  <c r="G433" i="7"/>
  <c r="G352" i="7"/>
  <c r="G548" i="7"/>
  <c r="G444" i="7" l="1"/>
  <c r="G450" i="7"/>
  <c r="G448" i="7" s="1"/>
  <c r="G435" i="7"/>
  <c r="G303" i="7"/>
  <c r="G289" i="7"/>
  <c r="G43" i="7"/>
  <c r="G37" i="7"/>
  <c r="G319" i="7" l="1"/>
  <c r="G699" i="7"/>
  <c r="G698" i="7"/>
  <c r="G697" i="7" s="1"/>
  <c r="G248" i="7"/>
  <c r="G106" i="7"/>
  <c r="G107" i="7"/>
  <c r="G166" i="7"/>
  <c r="G164" i="7" s="1"/>
  <c r="G165" i="7"/>
  <c r="G506" i="7" l="1"/>
  <c r="G508" i="7"/>
  <c r="G549" i="7" l="1"/>
  <c r="G584" i="7" l="1"/>
  <c r="G328" i="7"/>
  <c r="G245" i="7"/>
  <c r="G274" i="7"/>
  <c r="G272" i="7" s="1"/>
  <c r="G271" i="7"/>
  <c r="G269" i="7" s="1"/>
  <c r="G261" i="7"/>
  <c r="G259" i="7" s="1"/>
  <c r="G105" i="7"/>
  <c r="G172" i="7" l="1"/>
  <c r="G334" i="7" l="1"/>
  <c r="G163" i="7"/>
  <c r="G428" i="7"/>
  <c r="G61" i="7" l="1"/>
  <c r="G62" i="7"/>
  <c r="G782" i="7" l="1"/>
  <c r="G742" i="7" l="1"/>
  <c r="G781" i="7"/>
  <c r="G416" i="7"/>
  <c r="G238" i="7" l="1"/>
  <c r="G255" i="7" l="1"/>
  <c r="G662" i="7" l="1"/>
  <c r="G382" i="7" l="1"/>
  <c r="G80" i="7" l="1"/>
  <c r="G628" i="7"/>
  <c r="G528" i="7" l="1"/>
  <c r="G178" i="7" l="1"/>
  <c r="G177" i="7"/>
  <c r="G180" i="7"/>
  <c r="G737" i="7"/>
  <c r="G312" i="7" l="1"/>
  <c r="G96" i="7" l="1"/>
  <c r="G78" i="7"/>
  <c r="G381" i="7" l="1"/>
  <c r="G755" i="7"/>
  <c r="G741" i="7"/>
  <c r="G190" i="7"/>
  <c r="G192" i="7"/>
  <c r="G460" i="7" l="1"/>
  <c r="G459" i="7"/>
  <c r="G517" i="7" l="1"/>
  <c r="G516" i="7" s="1"/>
  <c r="G515" i="7" s="1"/>
  <c r="G398" i="7" l="1"/>
  <c r="G397" i="7" s="1"/>
  <c r="G396" i="7" s="1"/>
  <c r="G392" i="7"/>
  <c r="G375" i="7"/>
  <c r="G377" i="7"/>
  <c r="G374" i="7"/>
  <c r="G752" i="7"/>
  <c r="G419" i="7"/>
  <c r="G418" i="7" s="1"/>
  <c r="G681" i="7"/>
  <c r="G23" i="7"/>
  <c r="G314" i="7"/>
  <c r="G364" i="7"/>
  <c r="G189" i="7"/>
  <c r="G182" i="7"/>
  <c r="G728" i="7"/>
  <c r="G753" i="7"/>
  <c r="G732" i="7" l="1"/>
  <c r="G661" i="7"/>
  <c r="G659" i="7" s="1"/>
  <c r="G186" i="7"/>
  <c r="G371" i="7"/>
  <c r="G373" i="7"/>
  <c r="G602" i="7" l="1"/>
  <c r="G594" i="7"/>
  <c r="G171" i="7"/>
  <c r="G729" i="7" l="1"/>
  <c r="G607" i="7"/>
  <c r="G162" i="7" l="1"/>
  <c r="G734" i="7"/>
  <c r="G507" i="7" l="1"/>
  <c r="G457" i="7"/>
  <c r="G505" i="7" l="1"/>
  <c r="G583" i="7"/>
  <c r="G733" i="7"/>
  <c r="G233" i="7" l="1"/>
  <c r="G243" i="7"/>
  <c r="G149" i="7"/>
  <c r="G321" i="7" l="1"/>
  <c r="G94" i="7" l="1"/>
  <c r="G93" i="7" s="1"/>
  <c r="G92" i="7"/>
  <c r="G153" i="7" l="1"/>
  <c r="G53" i="7"/>
  <c r="G513" i="7" l="1"/>
  <c r="G512" i="7"/>
  <c r="G511" i="7" s="1"/>
  <c r="G510" i="7"/>
  <c r="G151" i="7" l="1"/>
  <c r="G148" i="7" s="1"/>
  <c r="G380" i="7"/>
  <c r="G370" i="7" s="1"/>
  <c r="G361" i="7"/>
  <c r="G592" i="7"/>
  <c r="G590" i="7"/>
  <c r="G589" i="7" s="1"/>
  <c r="G434" i="7" l="1"/>
  <c r="G288" i="7"/>
  <c r="G197" i="7"/>
  <c r="G73" i="7" l="1"/>
  <c r="G71" i="7"/>
  <c r="G82" i="7"/>
  <c r="G45" i="7"/>
  <c r="G543" i="7" l="1"/>
  <c r="G242" i="7" l="1"/>
  <c r="G122" i="7" l="1"/>
  <c r="G121" i="7" s="1"/>
  <c r="G388" i="7" l="1"/>
  <c r="G387" i="7"/>
  <c r="G369" i="7" s="1"/>
  <c r="G494" i="7"/>
  <c r="G236" i="7"/>
  <c r="G188" i="7"/>
  <c r="G351" i="7"/>
  <c r="G350" i="7" s="1"/>
  <c r="G276" i="7"/>
  <c r="G275" i="7" s="1"/>
  <c r="G252" i="7"/>
  <c r="G509" i="7"/>
  <c r="G638" i="7" l="1"/>
  <c r="G785" i="7" l="1"/>
  <c r="G784" i="7" s="1"/>
  <c r="G783" i="7" s="1"/>
  <c r="G777" i="7"/>
  <c r="G776" i="7" s="1"/>
  <c r="G774" i="7"/>
  <c r="G772" i="7" s="1"/>
  <c r="G771" i="7" s="1"/>
  <c r="G767" i="7"/>
  <c r="G766" i="7" s="1"/>
  <c r="G760" i="7"/>
  <c r="G759" i="7" s="1"/>
  <c r="G758" i="7" s="1"/>
  <c r="G754" i="7"/>
  <c r="G751" i="7"/>
  <c r="G748" i="7"/>
  <c r="G745" i="7"/>
  <c r="G743" i="7"/>
  <c r="G739" i="7"/>
  <c r="G727" i="7"/>
  <c r="G723" i="7"/>
  <c r="G722" i="7" s="1"/>
  <c r="G720" i="7"/>
  <c r="G717" i="7"/>
  <c r="G713" i="7"/>
  <c r="G712" i="7" s="1"/>
  <c r="G711" i="7" s="1"/>
  <c r="G708" i="7"/>
  <c r="G707" i="7" s="1"/>
  <c r="G703" i="7"/>
  <c r="G702" i="7" s="1"/>
  <c r="G695" i="7"/>
  <c r="G694" i="7" s="1"/>
  <c r="G692" i="7"/>
  <c r="G691" i="7" s="1"/>
  <c r="G689" i="7"/>
  <c r="G687" i="7"/>
  <c r="G685" i="7"/>
  <c r="G680" i="7"/>
  <c r="G675" i="7"/>
  <c r="G674" i="7" s="1"/>
  <c r="G672" i="7"/>
  <c r="G671" i="7" s="1"/>
  <c r="G669" i="7"/>
  <c r="G668" i="7" s="1"/>
  <c r="G664" i="7"/>
  <c r="G656" i="7" s="1"/>
  <c r="G653" i="7"/>
  <c r="G652" i="7" s="1"/>
  <c r="G651" i="7" s="1"/>
  <c r="G646" i="7"/>
  <c r="G644" i="7"/>
  <c r="G643" i="7" s="1"/>
  <c r="G640" i="7"/>
  <c r="G639" i="7" s="1"/>
  <c r="G634" i="7" s="1"/>
  <c r="G633" i="7" s="1"/>
  <c r="G637" i="7"/>
  <c r="G635" i="7"/>
  <c r="G631" i="7"/>
  <c r="G630" i="7" s="1"/>
  <c r="G629" i="7" s="1"/>
  <c r="G627" i="7"/>
  <c r="G626" i="7" s="1"/>
  <c r="G625" i="7" s="1"/>
  <c r="G623" i="7"/>
  <c r="G622" i="7" s="1"/>
  <c r="G621" i="7" s="1"/>
  <c r="G619" i="7"/>
  <c r="G618" i="7" s="1"/>
  <c r="G617" i="7" s="1"/>
  <c r="G614" i="7"/>
  <c r="G611" i="7"/>
  <c r="G606" i="7"/>
  <c r="G605" i="7" s="1"/>
  <c r="G603" i="7"/>
  <c r="G601" i="7"/>
  <c r="G597" i="7"/>
  <c r="G582" i="7"/>
  <c r="G581" i="7" s="1"/>
  <c r="G573" i="7"/>
  <c r="G572" i="7" s="1"/>
  <c r="G569" i="7"/>
  <c r="G566" i="7"/>
  <c r="G561" i="7"/>
  <c r="G560" i="7" s="1"/>
  <c r="G554" i="7"/>
  <c r="G552" i="7"/>
  <c r="G550" i="7"/>
  <c r="G546" i="7"/>
  <c r="G541" i="7"/>
  <c r="G537" i="7"/>
  <c r="G531" i="7"/>
  <c r="G530" i="7" s="1"/>
  <c r="G529" i="7" s="1"/>
  <c r="G526" i="7"/>
  <c r="G525" i="7" s="1"/>
  <c r="G524" i="7" s="1"/>
  <c r="G523" i="7"/>
  <c r="G522" i="7" s="1"/>
  <c r="G521" i="7" s="1"/>
  <c r="G520" i="7" s="1"/>
  <c r="G501" i="7"/>
  <c r="G499" i="7"/>
  <c r="G497" i="7"/>
  <c r="G491" i="7"/>
  <c r="G487" i="7"/>
  <c r="G481" i="7"/>
  <c r="G478" i="7"/>
  <c r="G475" i="7"/>
  <c r="G473" i="7"/>
  <c r="G471" i="7"/>
  <c r="G469" i="7"/>
  <c r="G466" i="7"/>
  <c r="G464" i="7"/>
  <c r="G461" i="7"/>
  <c r="G458" i="7"/>
  <c r="G456" i="7"/>
  <c r="G451" i="7"/>
  <c r="G441" i="7"/>
  <c r="G440" i="7" s="1"/>
  <c r="G438" i="7"/>
  <c r="G436" i="7"/>
  <c r="G432" i="7"/>
  <c r="G427" i="7"/>
  <c r="G425" i="7"/>
  <c r="G424" i="7"/>
  <c r="G422" i="7" s="1"/>
  <c r="G421" i="7"/>
  <c r="G420" i="7" s="1"/>
  <c r="G415" i="7"/>
  <c r="G410" i="7"/>
  <c r="G408" i="7"/>
  <c r="G394" i="7"/>
  <c r="G367" i="7"/>
  <c r="G366" i="7" s="1"/>
  <c r="G360" i="7"/>
  <c r="G358" i="7"/>
  <c r="G356" i="7"/>
  <c r="G354" i="7"/>
  <c r="G345" i="7"/>
  <c r="G342" i="7"/>
  <c r="G339" i="7"/>
  <c r="G337" i="7"/>
  <c r="G326" i="7"/>
  <c r="G325" i="7" s="1"/>
  <c r="G324" i="7" s="1"/>
  <c r="G322" i="7"/>
  <c r="G320" i="7"/>
  <c r="G318" i="7"/>
  <c r="G316" i="7"/>
  <c r="G306" i="7"/>
  <c r="G304" i="7"/>
  <c r="G299" i="7"/>
  <c r="G296" i="7"/>
  <c r="G295" i="7" s="1"/>
  <c r="G294" i="7" s="1"/>
  <c r="G292" i="7"/>
  <c r="G290" i="7"/>
  <c r="G286" i="7"/>
  <c r="G268" i="7"/>
  <c r="G266" i="7"/>
  <c r="G264" i="7"/>
  <c r="G256" i="7"/>
  <c r="G254" i="7"/>
  <c r="G250" i="7"/>
  <c r="G240" i="7"/>
  <c r="G239" i="7" s="1"/>
  <c r="G227" i="7"/>
  <c r="G229" i="7"/>
  <c r="G222" i="7"/>
  <c r="G219" i="7"/>
  <c r="G217" i="7"/>
  <c r="G213" i="7"/>
  <c r="G208" i="7"/>
  <c r="G206" i="7"/>
  <c r="G201" i="7"/>
  <c r="G199" i="7"/>
  <c r="G195" i="7"/>
  <c r="G184" i="7"/>
  <c r="G175" i="7"/>
  <c r="G173" i="7"/>
  <c r="G169" i="7"/>
  <c r="G167" i="7"/>
  <c r="G146" i="7"/>
  <c r="G144" i="7"/>
  <c r="G141" i="7"/>
  <c r="G137"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486" i="7" l="1"/>
  <c r="G485" i="7" s="1"/>
  <c r="G194" i="7"/>
  <c r="G333" i="7"/>
  <c r="G298" i="7"/>
  <c r="G297" i="7" s="1"/>
  <c r="G247" i="7"/>
  <c r="G157" i="7"/>
  <c r="G22" i="7"/>
  <c r="G736" i="7"/>
  <c r="G417" i="7"/>
  <c r="G391" i="7"/>
  <c r="G390" i="7" s="1"/>
  <c r="G504" i="7"/>
  <c r="G503" i="7" s="1"/>
  <c r="G72" i="7"/>
  <c r="G610" i="7"/>
  <c r="G726" i="7"/>
  <c r="G588" i="7"/>
  <c r="G587" i="7" s="1"/>
  <c r="G586" i="7" s="1"/>
  <c r="G655" i="7"/>
  <c r="G650" i="7" s="1"/>
  <c r="G536" i="7"/>
  <c r="G349" i="7"/>
  <c r="G221" i="7"/>
  <c r="G33" i="7"/>
  <c r="G143" i="7"/>
  <c r="G140" i="7" s="1"/>
  <c r="G765" i="7"/>
  <c r="G63" i="7"/>
  <c r="G212" i="7"/>
  <c r="G285" i="7"/>
  <c r="G284" i="7" s="1"/>
  <c r="G431" i="7"/>
  <c r="G447" i="7"/>
  <c r="G596" i="7"/>
  <c r="G716" i="7"/>
  <c r="G715" i="7" s="1"/>
  <c r="G404" i="7"/>
  <c r="G403" i="7" s="1"/>
  <c r="G455" i="7"/>
  <c r="G454" i="7" s="1"/>
  <c r="G453" i="7" s="1"/>
  <c r="G545" i="7"/>
  <c r="G565" i="7"/>
  <c r="G642" i="7"/>
  <c r="G641" i="7" s="1"/>
  <c r="G679" i="7"/>
  <c r="G205" i="7"/>
  <c r="G204" i="7" s="1"/>
  <c r="G203" i="7" s="1"/>
  <c r="G97" i="7"/>
  <c r="G519" i="7"/>
  <c r="G571" i="7"/>
  <c r="G773" i="7"/>
  <c r="G616" i="7"/>
  <c r="G108" i="7"/>
  <c r="G232" i="7"/>
  <c r="G667" i="7"/>
  <c r="G666" i="7" s="1"/>
  <c r="G211" i="7" l="1"/>
  <c r="G535" i="7"/>
  <c r="G484" i="7"/>
  <c r="G21" i="7"/>
  <c r="G20" i="7" s="1"/>
  <c r="G156" i="7"/>
  <c r="G155" i="7" s="1"/>
  <c r="G210" i="7"/>
  <c r="G559" i="7"/>
  <c r="G678" i="7"/>
  <c r="G677" i="7" s="1"/>
  <c r="G430" i="7"/>
  <c r="G429" i="7" s="1"/>
  <c r="G283" i="7"/>
  <c r="G725" i="7"/>
  <c r="G402" i="7"/>
  <c r="G401" i="7" s="1"/>
  <c r="G332" i="7"/>
  <c r="G331" i="7" s="1"/>
  <c r="G534" i="7" l="1"/>
  <c r="G19" i="7"/>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<sst xmlns="http://schemas.openxmlformats.org/spreadsheetml/2006/main" count="11199" uniqueCount="657">
  <si>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</si>
  <si>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</si>
  <si>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</si>
  <si>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</si>
  <si>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</si>
  <si>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</si>
  <si>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</si>
  <si>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</si>
  <si>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</si>
  <si>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</si>
  <si>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</si>
  <si>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</si>
  <si>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</si>
  <si>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</si>
  <si>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</si>
  <si>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</si>
  <si>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</si>
  <si>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</si>
  <si>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</si>
  <si>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</si>
  <si>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</si>
  <si>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</si>
  <si>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</si>
  <si>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</si>
  <si>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</si>
  <si>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</si>
  <si>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</si>
  <si>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</si>
  <si>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</si>
  <si>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</si>
  <si>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</si>
  <si>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</si>
  <si>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</si>
  <si>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</si>
  <si>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</si>
  <si>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</si>
  <si>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</si>
  <si>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</si>
  <si>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</si>
  <si>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</si>
  <si>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</si>
  <si>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</si>
  <si>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</si>
  <si>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</si>
  <si>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</si>
  <si>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</si>
  <si>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</si>
  <si>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</si>
  <si>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</si>
  <si>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</si>
  <si>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</si>
  <si>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</si>
  <si>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</si>
  <si>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</si>
  <si>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</si>
  <si>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</si>
  <si>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</si>
  <si>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</si>
  <si>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</si>
  <si>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</si>
  <si>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</si>
  <si>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</si>
  <si>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</si>
  <si>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</si>
  <si>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</si>
  <si>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</si>
  <si>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</si>
  <si>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</si>
  <si>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</si>
  <si>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</si>
  <si>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</si>
  <si>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</si>
  <si>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</si>
  <si>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</si>
  <si>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</si>
  <si>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</si>
  <si>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</si>
  <si>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</si>
  <si>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</si>
  <si>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</si>
  <si>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</si>
  <si>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</si>
  <si>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</si>
  <si>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</si>
  <si>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</si>
  <si>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</si>
  <si>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</si>
  <si>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</si>
  <si>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</si>
  <si>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</si>
  <si>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</si>
  <si>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</si>
  <si>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</si>
  <si>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</si>
  <si>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</si>
  <si>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</si>
  <si>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</si>
  <si>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</si>
  <si>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</si>
  <si>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</si>
  <si>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</si>
  <si>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</si>
  <si>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</si>
  <si>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</si>
  <si>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</si>
  <si>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</si>
  <si>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</si>
  <si>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</si>
  <si>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</si>
  <si>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</si>
  <si>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</si>
  <si>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</si>
  <si>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</si>
  <si>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</si>
  <si>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</si>
  <si>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</si>
  <si>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</si>
  <si>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</si>
  <si>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</si>
  <si>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</si>
  <si>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</si>
  <si>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</si>
  <si>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</si>
  <si>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</si>
  <si>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</si>
  <si>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</si>
  <si>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</si>
  <si>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</si>
  <si>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</si>
  <si>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</si>
  <si>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</si>
  <si>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</si>
  <si>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</si>
  <si>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</si>
  <si>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</si>
  <si>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</si>
  <si>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</si>
  <si>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</si>
  <si>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</si>
  <si>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</si>
  <si>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</si>
  <si>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</si>
  <si>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</si>
  <si>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</si>
  <si>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</si>
  <si>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</si>
  <si>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</si>
  <si>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</si>
  <si>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</si>
  <si>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</si>
  <si>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</si>
  <si>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</si>
  <si>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</si>
  <si>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</si>
  <si>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</si>
  <si>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</si>
  <si>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</si>
  <si>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</si>
  <si>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</si>
  <si>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</si>
  <si>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</si>
  <si>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</si>
  <si>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</si>
  <si>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</si>
  <si>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</si>
  <si>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</si>
  <si>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</si>
  <si>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</si>
  <si>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</si>
  <si>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</si>
  <si>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</si>
  <si>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</si>
  <si>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</si>
  <si>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</si>
  <si>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</si>
  <si>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</si>
  <si>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</si>
  <si>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</si>
  <si>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</si>
  <si>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</si>
  <si>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</si>
  <si>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</si>
  <si>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</si>
  <si>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</si>
  <si>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</si>
  <si>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</si>
  <si>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</si>
  <si>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</si>
  <si>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</si>
  <si>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</si>
  <si>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</si>
  <si>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</si>
  <si>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</si>
  <si>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</si>
  <si>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</si>
  <si>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</si>
  <si>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</si>
  <si>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</si>
  <si>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</si>
  <si>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</si>
  <si>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</si>
  <si>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</si>
  <si>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</si>
  <si>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</si>
  <si>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</si>
  <si>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</si>
  <si>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</si>
  <si>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</si>
  <si>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</si>
  <si>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</si>
  <si>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</si>
  <si>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</si>
  <si>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</si>
  <si>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</si>
  <si>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</si>
  <si>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</si>
  <si>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</si>
  <si>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</si>
  <si>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</si>
  <si>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</si>
  <si>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</si>
  <si>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</si>
  <si>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</si>
  <si>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</si>
  <si>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</si>
  <si>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</si>
  <si>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</si>
  <si>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</si>
  <si>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</si>
  <si>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</si>
  <si>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</si>
  <si>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</si>
  <si>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</si>
  <si>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</si>
  <si>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</si>
  <si>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</si>
  <si>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</si>
  <si>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</si>
  <si>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</si>
  <si>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</si>
  <si>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</si>
  <si>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</si>
  <si>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</si>
  <si>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</si>
  <si>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</si>
  <si>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</si>
  <si>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</si>
  <si>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</si>
  <si>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</si>
  <si>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</si>
  <si>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</si>
  <si>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</si>
  <si>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</si>
  <si>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</si>
  <si>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</si>
  <si>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</si>
  <si>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</si>
  <si>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</si>
  <si>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</si>
  <si>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</si>
  <si>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</si>
  <si>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</si>
  <si>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</si>
  <si>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</si>
  <si>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</si>
  <si>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</si>
  <si>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</si>
  <si>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</si>
  <si>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</si>
  <si>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</si>
  <si>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</si>
  <si>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</si>
  <si>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</si>
  <si>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</si>
  <si>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</si>
  <si>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</si>
  <si>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</si>
  <si>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</si>
  <si>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</si>
  <si>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</si>
  <si>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</si>
  <si>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</si>
  <si>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</si>
  <si>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</si>
  <si>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</si>
  <si>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</si>
  <si>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</si>
  <si>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</si>
  <si>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</si>
  <si>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</si>
  <si>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</si>
  <si>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</si>
  <si>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</si>
  <si>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</si>
  <si>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</si>
  <si>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</si>
  <si>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</si>
  <si>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</si>
  <si>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</si>
  <si>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</si>
  <si>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</si>
  <si>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</si>
  <si>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</si>
  <si>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</si>
  <si>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</si>
  <si>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</si>
  <si>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</si>
  <si>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</si>
  <si>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</si>
  <si>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</si>
  <si>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</si>
  <si>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</si>
  <si>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</si>
  <si>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</si>
  <si>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</si>
  <si>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</si>
  <si>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</si>
  <si>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</si>
  <si>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</si>
  <si>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</si>
  <si>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</si>
  <si>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</si>
  <si>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</si>
  <si>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</si>
  <si>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</si>
  <si>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</si>
  <si>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</si>
  <si>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</si>
  <si>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</si>
  <si>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</si>
  <si>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</si>
  <si>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</si>
  <si>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</si>
  <si>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</si>
  <si>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</si>
  <si>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</si>
  <si>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</si>
  <si>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</si>
  <si>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</si>
  <si>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</si>
  <si>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</si>
  <si>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</si>
  <si>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</si>
  <si>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</si>
  <si>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</si>
  <si>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</si>
  <si>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</si>
  <si>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</si>
  <si>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</si>
  <si>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</si>
  <si>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</si>
  <si>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</si>
  <si>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</si>
  <si>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</si>
  <si>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</si>
  <si>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</si>
  <si>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</si>
  <si>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</si>
  <si>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</si>
  <si>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</si>
  <si>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</si>
  <si>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</si>
  <si>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</si>
  <si>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</si>
  <si>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</si>
  <si>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</si>
  <si>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</si>
  <si>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</si>
  <si>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</si>
  <si>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</si>
  <si>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</si>
  <si>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</si>
  <si>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</si>
  <si>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</si>
  <si>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</si>
  <si>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</si>
  <si>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</si>
  <si>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</si>
  <si>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</si>
  <si>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</si>
  <si>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</si>
  <si>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</si>
  <si>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</si>
  <si>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</si>
  <si>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</si>
  <si>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</si>
  <si>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</si>
  <si>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</si>
  <si>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</si>
  <si>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</si>
  <si>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</si>
  <si>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</si>
  <si>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</si>
  <si>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</si>
  <si>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</si>
  <si>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</si>
  <si>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</si>
  <si>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</si>
  <si>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</si>
  <si>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</si>
  <si>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</si>
  <si>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</si>
  <si>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</si>
  <si>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</si>
  <si>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</si>
  <si>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</si>
  <si>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</si>
  <si>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</si>
  <si>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</si>
  <si>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</si>
  <si>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</si>
  <si>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</si>
  <si>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</si>
  <si>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</si>
  <si>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</si>
  <si>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</si>
  <si>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</si>
  <si>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</si>
  <si>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</si>
  <si>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</si>
  <si>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</si>
  <si>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</si>
  <si>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</si>
  <si>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</si>
  <si>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</si>
  <si>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</si>
  <si>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</si>
  <si>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</si>
  <si>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</si>
  <si>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</si>
  <si>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</si>
  <si>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</si>
  <si>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</si>
  <si>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</si>
  <si>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</si>
  <si>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</si>
  <si>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</si>
  <si>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</si>
  <si>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</si>
  <si>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</si>
  <si>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</si>
  <si>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</si>
  <si>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</si>
  <si>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</si>
  <si>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</si>
  <si>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</si>
  <si>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</si>
  <si>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</si>
  <si>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</si>
  <si>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</si>
  <si>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</si>
  <si>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</si>
  <si>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</si>
  <si>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</si>
  <si>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</si>
  <si>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</si>
  <si>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</si>
  <si>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</si>
  <si>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</si>
  <si>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</si>
  <si>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</si>
  <si>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</si>
  <si>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</si>
  <si>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</si>
  <si>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</si>
  <si>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</si>
  <si>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</si>
  <si>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</si>
  <si>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</si>
  <si>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</si>
  <si>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</si>
  <si>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</si>
  <si>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</si>
  <si>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</si>
  <si>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</si>
  <si>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</si>
  <si>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</si>
  <si>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</si>
  <si>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</si>
  <si>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</si>
  <si>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</si>
  <si>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</si>
  <si>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</si>
  <si>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</si>
  <si>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</si>
  <si>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</si>
  <si>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</si>
  <si>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</si>
  <si>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</si>
  <si>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</si>
  <si>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</si>
  <si>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</si>
  <si>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</si>
  <si>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</si>
  <si>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</si>
  <si>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</si>
  <si>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</si>
  <si>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</si>
  <si>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</si>
  <si>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</si>
  <si>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</si>
  <si>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</si>
  <si>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</si>
  <si>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</si>
  <si>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</si>
  <si>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</si>
  <si>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</si>
  <si>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</si>
  <si>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</si>
  <si>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</si>
  <si>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</si>
  <si>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</si>
  <si>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</si>
  <si>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</si>
  <si>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</si>
  <si>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</si>
  <si>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</si>
  <si>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</si>
  <si>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</si>
  <si>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</si>
  <si>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</si>
  <si>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</si>
  <si>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</si>
  <si>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</si>
  <si>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</si>
  <si>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</si>
  <si>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</si>
  <si>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</si>
  <si>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</si>
  <si>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</si>
  <si>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</si>
  <si>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</si>
  <si>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</si>
  <si>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</si>
  <si>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</si>
  <si>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</si>
  <si>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</si>
  <si>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</si>
  <si>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</si>
  <si>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</si>
  <si>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</si>
  <si>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</si>
  <si>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</si>
  <si>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</si>
  <si>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</si>
  <si>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</si>
  <si>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</si>
  <si>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</si>
  <si>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</si>
  <si>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</si>
  <si>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</si>
  <si>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</si>
  <si>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</si>
  <si>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</si>
  <si>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</si>
  <si>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</si>
  <si>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</si>
  <si>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</si>
  <si>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</si>
  <si>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</si>
  <si>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</si>
  <si>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</si>
  <si>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</si>
  <si>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</si>
  <si>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</si>
  <si>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</si>
  <si>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</si>
  <si>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</si>
  <si>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</si>
  <si>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</si>
  <si>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</si>
  <si>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</si>
  <si>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</si>
  <si>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</si>
  <si>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</si>
  <si>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</si>
  <si>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</si>
  <si>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</si>
  <si>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</si>
  <si>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</si>
  <si>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</si>
  <si>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</si>
  <si>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</si>
  <si>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</si>
  <si>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</si>
  <si>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</si>
  <si>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</si>
  <si>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</si>
  <si>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</si>
  <si>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</si>
  <si>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</si>
  <si>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</si>
  <si>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</si>
  <si>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</si>
  <si>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</si>
  <si>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</si>
  <si>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</si>
  <si>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</si>
  <si>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</si>
  <si>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</si>
  <si>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</si>
  <si>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</si>
  <si>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</si>
  <si>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</si>
  <si>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</si>
  <si>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</si>
  <si>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</si>
  <si>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</si>
  <si>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</si>
  <si>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</si>
  <si>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</si>
  <si>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</si>
  <si>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</si>
  <si>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</si>
  <si>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</si>
  <si>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</si>
  <si>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</si>
  <si>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</si>
  <si>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</si>
  <si>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</si>
  <si>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</si>
  <si>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</si>
  <si>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</si>
  <si>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</si>
  <si>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</si>
  <si>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</si>
  <si>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</si>
  <si>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</si>
  <si>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</si>
  <si>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</si>
  <si>
    <t>А0360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</si>
  <si>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 сверх сумм софинансирования</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</si>
  <si>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</si>
  <si>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</si>
  <si>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</si>
  <si>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</si>
  <si>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</si>
  <si>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</si>
  <si>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Улучшение кадрового обеспечения муниципальных учреждений дополнительного образования отрасли отрасли "Физическая культура и спорт"</t>
  </si>
  <si>
    <t>новый</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</si>
  <si>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</si>
  <si>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</si>
  <si>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</si>
  <si>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</si>
  <si>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</si>
  <si>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</si>
  <si>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60390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</si>
  <si>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</si>
  <si>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</si>
  <si>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62950</t>
  </si>
  <si>
    <t>Обеспечение антитеррористической защищенности привокзальной площади города Туапсе</t>
  </si>
  <si>
    <t>Я5</t>
  </si>
  <si>
    <t>Региональный проект "Семейные ценности и инфраструктура культуры"</t>
  </si>
  <si>
    <t>Д4540</t>
  </si>
  <si>
    <t>Создание модельных муниципальных библиотек сверх сумм софинансирования</t>
  </si>
  <si>
    <t>А3310</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</si>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</sst>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211667</xdr:colOff>
      <xdr:row>7</xdr:row>
      <xdr:rowOff>20783</xdr:rowOff>
    </xdr:from>
    <xdr:to>
      <xdr:col>7</xdr:col>
      <xdr:colOff>624416</xdr:colOff>
      <xdr:row>13</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064250" y="1650616"/>
          <a:ext cx="3344333" cy="15984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158750</xdr:colOff>
      <xdr:row>0</xdr:row>
      <xdr:rowOff>0</xdr:rowOff>
    </xdr:from>
    <xdr:to>
      <xdr:col>7</xdr:col>
      <xdr:colOff>613833</xdr:colOff>
      <xdr:row>6</xdr:row>
      <xdr:rowOff>144780</xdr:rowOff>
    </xdr:to>
    <xdr:sp macro="" textlink="">
      <xdr:nvSpPr>
        <xdr:cNvPr id="4" name="Text Box 2"/>
        <xdr:cNvSpPr txBox="1">
          <a:spLocks noChangeArrowheads="1"/>
        </xdr:cNvSpPr>
      </xdr:nvSpPr>
      <xdr:spPr bwMode="auto">
        <a:xfrm>
          <a:off x="6011333" y="0"/>
          <a:ext cx="3386667" cy="15417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6</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30.05.2025  № 234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14" t="s">
        <v>494</v>
      </c>
      <c r="B9" s="115"/>
      <c r="C9" s="115"/>
      <c r="D9" s="115"/>
      <c r="E9" s="115"/>
      <c r="F9" s="115"/>
      <c r="G9" s="115"/>
    </row>
    <row r="10" spans="1:15" ht="26.4" customHeight="1" x14ac:dyDescent="0.35">
      <c r="A10" s="64"/>
      <c r="B10" s="65"/>
      <c r="C10" s="66"/>
      <c r="D10" s="65"/>
      <c r="E10" s="65"/>
      <c r="F10" s="66"/>
      <c r="G10" s="61" t="s">
        <v>32</v>
      </c>
      <c r="K10" s="2"/>
    </row>
    <row r="11" spans="1:15" ht="24.75" customHeight="1" x14ac:dyDescent="0.25">
      <c r="A11" s="116" t="s">
        <v>14</v>
      </c>
      <c r="B11" s="116" t="s">
        <v>13</v>
      </c>
      <c r="C11" s="116"/>
      <c r="D11" s="116"/>
      <c r="E11" s="116"/>
      <c r="F11" s="116"/>
      <c r="G11" s="117" t="s">
        <v>38</v>
      </c>
      <c r="O11" s="17"/>
    </row>
    <row r="12" spans="1:15" x14ac:dyDescent="0.25">
      <c r="A12" s="116"/>
      <c r="B12" s="116" t="s">
        <v>11</v>
      </c>
      <c r="C12" s="116"/>
      <c r="D12" s="116"/>
      <c r="E12" s="116"/>
      <c r="F12" s="67" t="s">
        <v>12</v>
      </c>
      <c r="G12" s="117"/>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18" t="s">
        <v>350</v>
      </c>
      <c r="B772" s="118"/>
      <c r="C772" s="10"/>
      <c r="D772" s="9"/>
      <c r="E772" s="50"/>
      <c r="F772" s="50"/>
      <c r="G772" s="50"/>
    </row>
    <row r="773" spans="1:7" s="2" customFormat="1" ht="18" customHeight="1" x14ac:dyDescent="0.35">
      <c r="A773" s="119" t="s">
        <v>334</v>
      </c>
      <c r="B773" s="119"/>
      <c r="C773" s="10"/>
      <c r="D773" s="9"/>
      <c r="E773" s="9"/>
      <c r="F773" s="9"/>
      <c r="G773" s="50"/>
    </row>
    <row r="774" spans="1:7" s="2" customFormat="1" ht="17.25" customHeight="1" x14ac:dyDescent="0.35">
      <c r="A774" s="120" t="s">
        <v>335</v>
      </c>
      <c r="B774" s="120"/>
      <c r="C774" s="10"/>
      <c r="D774" s="9"/>
      <c r="F774" s="113" t="s">
        <v>349</v>
      </c>
      <c r="G774" s="113"/>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3" t="s">
        <v>494</v>
      </c>
      <c r="B9" s="124"/>
      <c r="C9" s="124"/>
      <c r="D9" s="124"/>
      <c r="E9" s="124"/>
      <c r="F9" s="124"/>
      <c r="G9" s="124"/>
    </row>
    <row r="10" spans="1:15" ht="26.4" customHeight="1" x14ac:dyDescent="0.35">
      <c r="A10" s="19"/>
      <c r="B10" s="20"/>
      <c r="C10" s="21"/>
      <c r="D10" s="20"/>
      <c r="E10" s="20"/>
      <c r="F10" s="21"/>
      <c r="G10" s="22" t="s">
        <v>32</v>
      </c>
      <c r="K10" s="2"/>
    </row>
    <row r="11" spans="1:15" ht="24.75" customHeight="1" x14ac:dyDescent="0.25">
      <c r="A11" s="125" t="s">
        <v>14</v>
      </c>
      <c r="B11" s="125" t="s">
        <v>13</v>
      </c>
      <c r="C11" s="125"/>
      <c r="D11" s="125"/>
      <c r="E11" s="125"/>
      <c r="F11" s="125"/>
      <c r="G11" s="126" t="s">
        <v>38</v>
      </c>
      <c r="O11" s="17"/>
    </row>
    <row r="12" spans="1:15" x14ac:dyDescent="0.25">
      <c r="A12" s="125"/>
      <c r="B12" s="125" t="s">
        <v>11</v>
      </c>
      <c r="C12" s="125"/>
      <c r="D12" s="125"/>
      <c r="E12" s="125"/>
      <c r="F12" s="23" t="s">
        <v>12</v>
      </c>
      <c r="G12" s="126"/>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27" t="s">
        <v>350</v>
      </c>
      <c r="B696" s="127"/>
      <c r="C696" s="10"/>
      <c r="D696" s="9"/>
      <c r="E696" s="50"/>
      <c r="F696" s="50"/>
      <c r="G696" s="50"/>
    </row>
    <row r="697" spans="1:7" s="2" customFormat="1" ht="18" customHeight="1" x14ac:dyDescent="0.35">
      <c r="A697" s="121" t="s">
        <v>334</v>
      </c>
      <c r="B697" s="121"/>
      <c r="C697" s="10"/>
      <c r="D697" s="9"/>
      <c r="E697" s="9"/>
      <c r="F697" s="9"/>
      <c r="G697" s="50"/>
    </row>
    <row r="698" spans="1:7" s="2" customFormat="1" ht="17.25" customHeight="1" x14ac:dyDescent="0.35">
      <c r="A698" s="122" t="s">
        <v>335</v>
      </c>
      <c r="B698" s="122"/>
      <c r="C698" s="10"/>
      <c r="D698" s="9"/>
      <c r="F698" s="113" t="s">
        <v>349</v>
      </c>
      <c r="G698" s="113"/>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209"/>
  <sheetViews>
    <sheetView showGridLines="0" tabSelected="1" view="pageBreakPreview" zoomScale="90" zoomScaleNormal="90" zoomScaleSheetLayoutView="90" workbookViewId="0">
      <selection activeCell="A8" sqref="A8"/>
    </sheetView>
  </sheetViews>
  <sheetFormatPr defaultColWidth="9.109375" defaultRowHeight="17.399999999999999" x14ac:dyDescent="0.25"/>
  <cols>
    <col min="1" max="1" width="80.109375" style="106" customWidth="1"/>
    <col min="2" max="2" width="7.5546875" style="92" customWidth="1"/>
    <col min="3" max="3" width="8.6640625" style="93" customWidth="1"/>
    <col min="4" max="4" width="7.109375" style="92" customWidth="1"/>
    <col min="5" max="5" width="7.44140625" style="92" customWidth="1"/>
    <col min="6" max="6" width="5.44140625" style="92" customWidth="1"/>
    <col min="7" max="7" width="15.33203125" style="94" customWidth="1"/>
    <col min="8" max="8" width="21.6640625" style="95" customWidth="1"/>
    <col min="9" max="9" width="10.33203125" style="95" customWidth="1"/>
    <col min="10" max="10" width="20.6640625" style="95" customWidth="1"/>
    <col min="11" max="11" width="4.44140625" style="95" customWidth="1"/>
    <col min="12" max="12" width="20.109375" style="95" customWidth="1"/>
    <col min="13" max="14" width="9.109375" style="95"/>
    <col min="15" max="15" width="16.109375" style="95" bestFit="1" customWidth="1"/>
    <col min="16" max="16384" width="9.109375" style="95"/>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3" t="s">
        <v>494</v>
      </c>
      <c r="B14" s="124"/>
      <c r="C14" s="124"/>
      <c r="D14" s="124"/>
      <c r="E14" s="124"/>
      <c r="F14" s="124"/>
      <c r="G14" s="124"/>
    </row>
    <row r="15" spans="1:15" ht="24" customHeight="1" x14ac:dyDescent="0.35">
      <c r="A15" s="107"/>
      <c r="B15" s="20"/>
      <c r="C15" s="21"/>
      <c r="D15" s="20"/>
      <c r="E15" s="20"/>
      <c r="F15" s="21"/>
      <c r="G15" s="22" t="s">
        <v>32</v>
      </c>
      <c r="K15" s="96"/>
    </row>
    <row r="16" spans="1:15" ht="24.75" customHeight="1" x14ac:dyDescent="0.25">
      <c r="A16" s="131" t="s">
        <v>14</v>
      </c>
      <c r="B16" s="125" t="s">
        <v>13</v>
      </c>
      <c r="C16" s="125"/>
      <c r="D16" s="125"/>
      <c r="E16" s="125"/>
      <c r="F16" s="125"/>
      <c r="G16" s="126" t="s">
        <v>38</v>
      </c>
      <c r="O16" s="97"/>
    </row>
    <row r="17" spans="1:12" x14ac:dyDescent="0.25">
      <c r="A17" s="132"/>
      <c r="B17" s="125" t="s">
        <v>11</v>
      </c>
      <c r="C17" s="125"/>
      <c r="D17" s="125"/>
      <c r="E17" s="125"/>
      <c r="F17" s="23" t="s">
        <v>12</v>
      </c>
      <c r="G17" s="126"/>
      <c r="L17" s="97"/>
    </row>
    <row r="18" spans="1:12" s="93" customFormat="1" x14ac:dyDescent="0.25">
      <c r="A18" s="112">
        <v>1</v>
      </c>
      <c r="B18" s="112">
        <v>2</v>
      </c>
      <c r="C18" s="112">
        <v>3</v>
      </c>
      <c r="D18" s="112">
        <v>4</v>
      </c>
      <c r="E18" s="112">
        <v>5</v>
      </c>
      <c r="F18" s="112">
        <v>6</v>
      </c>
      <c r="G18" s="24">
        <v>7</v>
      </c>
      <c r="J18" s="98"/>
      <c r="L18" s="99"/>
    </row>
    <row r="19" spans="1:12" x14ac:dyDescent="0.25">
      <c r="A19" s="27" t="s">
        <v>15</v>
      </c>
      <c r="B19" s="23"/>
      <c r="C19" s="112"/>
      <c r="D19" s="23"/>
      <c r="E19" s="23"/>
      <c r="F19" s="112"/>
      <c r="G19" s="15">
        <f>SUM(G20+G155+G203+G210+G283+G331+G401+G429+G453+G534+G586+G616+G641+G650+G666+G711+G715+G725+G758+G765+G783+G677+G519+G484+G776+G771)</f>
        <v>18943489.199999999</v>
      </c>
      <c r="J19" s="100"/>
      <c r="L19" s="97"/>
    </row>
    <row r="20" spans="1:12" s="96" customFormat="1" ht="14.25" customHeight="1" x14ac:dyDescent="0.25">
      <c r="A20" s="31" t="s">
        <v>364</v>
      </c>
      <c r="B20" s="13" t="s">
        <v>0</v>
      </c>
      <c r="C20" s="13"/>
      <c r="D20" s="13"/>
      <c r="E20" s="13"/>
      <c r="F20" s="14"/>
      <c r="G20" s="15">
        <f>SUM(G21)</f>
        <v>2978647.7</v>
      </c>
      <c r="J20" s="100"/>
    </row>
    <row r="21" spans="1:12" s="96" customFormat="1" ht="16.5" customHeight="1" x14ac:dyDescent="0.25">
      <c r="A21" s="31" t="s">
        <v>365</v>
      </c>
      <c r="B21" s="13" t="s">
        <v>0</v>
      </c>
      <c r="C21" s="13" t="s">
        <v>58</v>
      </c>
      <c r="D21" s="13"/>
      <c r="E21" s="13"/>
      <c r="F21" s="14"/>
      <c r="G21" s="15">
        <f>SUM(G22+G97+G63+G33+G72+G108+G121+G125+G143+G128+G133+G140+G148)</f>
        <v>2978647.7</v>
      </c>
    </row>
    <row r="22" spans="1:12" s="96" customFormat="1" ht="62.4" x14ac:dyDescent="0.25">
      <c r="A22" s="31" t="s">
        <v>425</v>
      </c>
      <c r="B22" s="13" t="s">
        <v>0</v>
      </c>
      <c r="C22" s="13" t="s">
        <v>58</v>
      </c>
      <c r="D22" s="13" t="s">
        <v>0</v>
      </c>
      <c r="E22" s="13"/>
      <c r="F22" s="14"/>
      <c r="G22" s="15">
        <f>SUM(G29+G27+G31+G25+G23)</f>
        <v>53709.8</v>
      </c>
    </row>
    <row r="23" spans="1:12" s="96" customFormat="1" ht="31.2" x14ac:dyDescent="0.25">
      <c r="A23" s="31" t="s">
        <v>603</v>
      </c>
      <c r="B23" s="13" t="s">
        <v>0</v>
      </c>
      <c r="C23" s="13" t="s">
        <v>58</v>
      </c>
      <c r="D23" s="13" t="s">
        <v>0</v>
      </c>
      <c r="E23" s="13" t="s">
        <v>559</v>
      </c>
      <c r="F23" s="14"/>
      <c r="G23" s="15">
        <f>G24</f>
        <v>47884.4</v>
      </c>
    </row>
    <row r="24" spans="1:12" s="96" customFormat="1" ht="31.2" x14ac:dyDescent="0.25">
      <c r="A24" s="30" t="s">
        <v>116</v>
      </c>
      <c r="B24" s="13" t="s">
        <v>0</v>
      </c>
      <c r="C24" s="13" t="s">
        <v>58</v>
      </c>
      <c r="D24" s="13" t="s">
        <v>0</v>
      </c>
      <c r="E24" s="13" t="s">
        <v>559</v>
      </c>
      <c r="F24" s="14" t="s">
        <v>111</v>
      </c>
      <c r="G24" s="15">
        <f>235.5+364.2+23420.7+15309.9+470.1+524+358.5+3173.8+4027.7</f>
        <v>47884.4</v>
      </c>
    </row>
    <row r="25" spans="1:12" s="96" customFormat="1" ht="31.2" x14ac:dyDescent="0.25">
      <c r="A25" s="31" t="s">
        <v>318</v>
      </c>
      <c r="B25" s="13" t="s">
        <v>0</v>
      </c>
      <c r="C25" s="13" t="s">
        <v>58</v>
      </c>
      <c r="D25" s="13" t="s">
        <v>0</v>
      </c>
      <c r="E25" s="13" t="s">
        <v>317</v>
      </c>
      <c r="F25" s="14"/>
      <c r="G25" s="15">
        <f>G26</f>
        <v>435.4</v>
      </c>
    </row>
    <row r="26" spans="1:12" s="96" customFormat="1" ht="31.2" x14ac:dyDescent="0.25">
      <c r="A26" s="30" t="s">
        <v>116</v>
      </c>
      <c r="B26" s="13" t="s">
        <v>0</v>
      </c>
      <c r="C26" s="13" t="s">
        <v>58</v>
      </c>
      <c r="D26" s="13" t="s">
        <v>0</v>
      </c>
      <c r="E26" s="13" t="s">
        <v>317</v>
      </c>
      <c r="F26" s="14" t="s">
        <v>111</v>
      </c>
      <c r="G26" s="15">
        <v>435.4</v>
      </c>
    </row>
    <row r="27" spans="1:12" s="96" customFormat="1" ht="31.2" x14ac:dyDescent="0.25">
      <c r="A27" s="29" t="s">
        <v>323</v>
      </c>
      <c r="B27" s="13" t="s">
        <v>0</v>
      </c>
      <c r="C27" s="13" t="s">
        <v>58</v>
      </c>
      <c r="D27" s="13" t="s">
        <v>0</v>
      </c>
      <c r="E27" s="13" t="s">
        <v>259</v>
      </c>
      <c r="F27" s="14"/>
      <c r="G27" s="15">
        <f>SUM(G28)</f>
        <v>5390</v>
      </c>
    </row>
    <row r="28" spans="1:12" s="96" customFormat="1" ht="31.2" x14ac:dyDescent="0.25">
      <c r="A28" s="30" t="s">
        <v>116</v>
      </c>
      <c r="B28" s="13" t="s">
        <v>0</v>
      </c>
      <c r="C28" s="13" t="s">
        <v>58</v>
      </c>
      <c r="D28" s="13" t="s">
        <v>0</v>
      </c>
      <c r="E28" s="13" t="s">
        <v>259</v>
      </c>
      <c r="F28" s="14" t="s">
        <v>111</v>
      </c>
      <c r="G28" s="15">
        <v>5390</v>
      </c>
    </row>
    <row r="29" spans="1:12" s="96" customFormat="1" ht="93.6" x14ac:dyDescent="0.25">
      <c r="A29" s="29" t="s">
        <v>344</v>
      </c>
      <c r="B29" s="13" t="s">
        <v>0</v>
      </c>
      <c r="C29" s="13" t="s">
        <v>58</v>
      </c>
      <c r="D29" s="13" t="s">
        <v>0</v>
      </c>
      <c r="E29" s="13" t="s">
        <v>284</v>
      </c>
      <c r="F29" s="14"/>
      <c r="G29" s="15">
        <f>SUM(G30)</f>
        <v>0</v>
      </c>
    </row>
    <row r="30" spans="1:12" s="96" customFormat="1" ht="35.25" customHeight="1" x14ac:dyDescent="0.25">
      <c r="A30" s="30" t="s">
        <v>116</v>
      </c>
      <c r="B30" s="13" t="s">
        <v>0</v>
      </c>
      <c r="C30" s="13" t="s">
        <v>58</v>
      </c>
      <c r="D30" s="13" t="s">
        <v>0</v>
      </c>
      <c r="E30" s="13" t="s">
        <v>284</v>
      </c>
      <c r="F30" s="13" t="s">
        <v>111</v>
      </c>
      <c r="G30" s="15"/>
    </row>
    <row r="31" spans="1:12" s="96" customFormat="1" ht="93.6" x14ac:dyDescent="0.25">
      <c r="A31" s="29" t="s">
        <v>244</v>
      </c>
      <c r="B31" s="13" t="s">
        <v>0</v>
      </c>
      <c r="C31" s="13" t="s">
        <v>58</v>
      </c>
      <c r="D31" s="13" t="s">
        <v>0</v>
      </c>
      <c r="E31" s="13" t="s">
        <v>243</v>
      </c>
      <c r="F31" s="13"/>
      <c r="G31" s="15">
        <f>G32</f>
        <v>-3.979039320256561E-13</v>
      </c>
    </row>
    <row r="32" spans="1:12" s="96" customFormat="1" ht="32.4" customHeight="1" x14ac:dyDescent="0.25">
      <c r="A32" s="30" t="s">
        <v>116</v>
      </c>
      <c r="B32" s="13" t="s">
        <v>0</v>
      </c>
      <c r="C32" s="13" t="s">
        <v>58</v>
      </c>
      <c r="D32" s="13" t="s">
        <v>0</v>
      </c>
      <c r="E32" s="13" t="s">
        <v>243</v>
      </c>
      <c r="F32" s="13" t="s">
        <v>111</v>
      </c>
      <c r="G32" s="15">
        <f>14283-13788.6-323.1-171.3</f>
        <v>-3.979039320256561E-13</v>
      </c>
    </row>
    <row r="33" spans="1:7" ht="46.8" x14ac:dyDescent="0.25">
      <c r="A33" s="31" t="s">
        <v>85</v>
      </c>
      <c r="B33" s="13" t="s">
        <v>0</v>
      </c>
      <c r="C33" s="13" t="s">
        <v>58</v>
      </c>
      <c r="D33" s="13" t="s">
        <v>1</v>
      </c>
      <c r="E33" s="13"/>
      <c r="F33" s="14"/>
      <c r="G33" s="15">
        <f>SUM(G38+G56+G60+G34+G50+G48+G52+G46+G54+G44)</f>
        <v>2481165.3000000003</v>
      </c>
    </row>
    <row r="34" spans="1:7" ht="21" customHeight="1" x14ac:dyDescent="0.25">
      <c r="A34" s="31" t="s">
        <v>105</v>
      </c>
      <c r="B34" s="13" t="s">
        <v>0</v>
      </c>
      <c r="C34" s="13" t="s">
        <v>58</v>
      </c>
      <c r="D34" s="13" t="s">
        <v>1</v>
      </c>
      <c r="E34" s="13" t="s">
        <v>41</v>
      </c>
      <c r="F34" s="14"/>
      <c r="G34" s="15">
        <f>SUM(G35:G37)</f>
        <v>8604.1999999999989</v>
      </c>
    </row>
    <row r="35" spans="1:7" ht="46.8" x14ac:dyDescent="0.25">
      <c r="A35" s="29" t="s">
        <v>114</v>
      </c>
      <c r="B35" s="13" t="s">
        <v>0</v>
      </c>
      <c r="C35" s="13" t="s">
        <v>58</v>
      </c>
      <c r="D35" s="13" t="s">
        <v>1</v>
      </c>
      <c r="E35" s="13" t="s">
        <v>41</v>
      </c>
      <c r="F35" s="14" t="s">
        <v>19</v>
      </c>
      <c r="G35" s="15">
        <f>8593.8-0.6+0.6</f>
        <v>8593.7999999999993</v>
      </c>
    </row>
    <row r="36" spans="1:7" s="96" customFormat="1" ht="33" customHeight="1" x14ac:dyDescent="0.25">
      <c r="A36" s="29" t="s">
        <v>115</v>
      </c>
      <c r="B36" s="13" t="s">
        <v>0</v>
      </c>
      <c r="C36" s="13" t="s">
        <v>58</v>
      </c>
      <c r="D36" s="13" t="s">
        <v>1</v>
      </c>
      <c r="E36" s="13" t="s">
        <v>41</v>
      </c>
      <c r="F36" s="14" t="s">
        <v>20</v>
      </c>
      <c r="G36" s="15">
        <v>8.8000000000000007</v>
      </c>
    </row>
    <row r="37" spans="1:7" s="96" customFormat="1" ht="19.2" customHeight="1" x14ac:dyDescent="0.25">
      <c r="A37" s="29" t="s">
        <v>21</v>
      </c>
      <c r="B37" s="13" t="s">
        <v>0</v>
      </c>
      <c r="C37" s="13" t="s">
        <v>58</v>
      </c>
      <c r="D37" s="13" t="s">
        <v>1</v>
      </c>
      <c r="E37" s="13" t="s">
        <v>41</v>
      </c>
      <c r="F37" s="14" t="s">
        <v>22</v>
      </c>
      <c r="G37" s="15">
        <f>1+0.6</f>
        <v>1.6</v>
      </c>
    </row>
    <row r="38" spans="1:7" s="96" customFormat="1" ht="46.8" x14ac:dyDescent="0.25">
      <c r="A38" s="31" t="s">
        <v>87</v>
      </c>
      <c r="B38" s="13" t="s">
        <v>0</v>
      </c>
      <c r="C38" s="13" t="s">
        <v>58</v>
      </c>
      <c r="D38" s="13" t="s">
        <v>1</v>
      </c>
      <c r="E38" s="13" t="s">
        <v>51</v>
      </c>
      <c r="F38" s="14"/>
      <c r="G38" s="15">
        <f>SUM(G39:G43)</f>
        <v>656560.9</v>
      </c>
    </row>
    <row r="39" spans="1:7" s="96" customFormat="1" ht="33" customHeight="1" x14ac:dyDescent="0.25">
      <c r="A39" s="29" t="s">
        <v>114</v>
      </c>
      <c r="B39" s="13" t="s">
        <v>0</v>
      </c>
      <c r="C39" s="13" t="s">
        <v>58</v>
      </c>
      <c r="D39" s="13" t="s">
        <v>1</v>
      </c>
      <c r="E39" s="13" t="s">
        <v>51</v>
      </c>
      <c r="F39" s="14" t="s">
        <v>19</v>
      </c>
      <c r="G39" s="15">
        <f>85901.9-1.9+1.9-1738.9</f>
        <v>84163</v>
      </c>
    </row>
    <row r="40" spans="1:7" s="96" customFormat="1" ht="31.2" customHeight="1" x14ac:dyDescent="0.25">
      <c r="A40" s="29" t="s">
        <v>115</v>
      </c>
      <c r="B40" s="13" t="s">
        <v>0</v>
      </c>
      <c r="C40" s="13" t="s">
        <v>58</v>
      </c>
      <c r="D40" s="13" t="s">
        <v>1</v>
      </c>
      <c r="E40" s="13" t="s">
        <v>51</v>
      </c>
      <c r="F40" s="14" t="s">
        <v>20</v>
      </c>
      <c r="G40" s="15">
        <f>11263.4+176.3+160</f>
        <v>11599.699999999999</v>
      </c>
    </row>
    <row r="41" spans="1:7" s="96" customFormat="1" ht="20.399999999999999" customHeight="1" x14ac:dyDescent="0.25">
      <c r="A41" s="29" t="s">
        <v>117</v>
      </c>
      <c r="B41" s="13" t="s">
        <v>0</v>
      </c>
      <c r="C41" s="13" t="s">
        <v>58</v>
      </c>
      <c r="D41" s="13" t="s">
        <v>1</v>
      </c>
      <c r="E41" s="13" t="s">
        <v>51</v>
      </c>
      <c r="F41" s="14" t="s">
        <v>109</v>
      </c>
      <c r="G41" s="15"/>
    </row>
    <row r="42" spans="1:7" s="96" customFormat="1" ht="31.95" customHeight="1" x14ac:dyDescent="0.25">
      <c r="A42" s="30" t="s">
        <v>116</v>
      </c>
      <c r="B42" s="13" t="s">
        <v>0</v>
      </c>
      <c r="C42" s="13" t="s">
        <v>58</v>
      </c>
      <c r="D42" s="13" t="s">
        <v>1</v>
      </c>
      <c r="E42" s="13" t="s">
        <v>51</v>
      </c>
      <c r="F42" s="14" t="s">
        <v>111</v>
      </c>
      <c r="G42" s="15">
        <f>306836+219673.9+30222.9+1012+1738.9+260+1075.7-100</f>
        <v>560719.4</v>
      </c>
    </row>
    <row r="43" spans="1:7" s="96" customFormat="1" ht="18" customHeight="1" x14ac:dyDescent="0.25">
      <c r="A43" s="29" t="s">
        <v>21</v>
      </c>
      <c r="B43" s="13" t="s">
        <v>0</v>
      </c>
      <c r="C43" s="13" t="s">
        <v>58</v>
      </c>
      <c r="D43" s="13" t="s">
        <v>1</v>
      </c>
      <c r="E43" s="13" t="s">
        <v>51</v>
      </c>
      <c r="F43" s="14" t="s">
        <v>22</v>
      </c>
      <c r="G43" s="15">
        <f>76.9+1.9</f>
        <v>78.800000000000011</v>
      </c>
    </row>
    <row r="44" spans="1:7" ht="16.2" customHeight="1" x14ac:dyDescent="0.25">
      <c r="A44" s="29" t="s">
        <v>276</v>
      </c>
      <c r="B44" s="13" t="s">
        <v>0</v>
      </c>
      <c r="C44" s="13" t="s">
        <v>58</v>
      </c>
      <c r="D44" s="13" t="s">
        <v>1</v>
      </c>
      <c r="E44" s="13" t="s">
        <v>183</v>
      </c>
      <c r="F44" s="14"/>
      <c r="G44" s="15">
        <f>G45</f>
        <v>3376.2</v>
      </c>
    </row>
    <row r="45" spans="1:7" ht="31.2" x14ac:dyDescent="0.25">
      <c r="A45" s="30" t="s">
        <v>116</v>
      </c>
      <c r="B45" s="13" t="s">
        <v>0</v>
      </c>
      <c r="C45" s="13" t="s">
        <v>58</v>
      </c>
      <c r="D45" s="13" t="s">
        <v>1</v>
      </c>
      <c r="E45" s="13" t="s">
        <v>183</v>
      </c>
      <c r="F45" s="14" t="s">
        <v>111</v>
      </c>
      <c r="G45" s="15">
        <f>1111+577.1+733.9+350+377.1+227.1</f>
        <v>3376.2</v>
      </c>
    </row>
    <row r="46" spans="1:7" ht="16.95" customHeight="1" x14ac:dyDescent="0.25">
      <c r="A46" s="29" t="s">
        <v>228</v>
      </c>
      <c r="B46" s="13" t="s">
        <v>0</v>
      </c>
      <c r="C46" s="25">
        <v>1</v>
      </c>
      <c r="D46" s="13" t="s">
        <v>1</v>
      </c>
      <c r="E46" s="13" t="s">
        <v>229</v>
      </c>
      <c r="F46" s="13"/>
      <c r="G46" s="15">
        <f>SUM(G47)</f>
        <v>24</v>
      </c>
    </row>
    <row r="47" spans="1:7" ht="32.4" customHeight="1" x14ac:dyDescent="0.25">
      <c r="A47" s="29" t="s">
        <v>115</v>
      </c>
      <c r="B47" s="13" t="s">
        <v>0</v>
      </c>
      <c r="C47" s="25">
        <v>1</v>
      </c>
      <c r="D47" s="13" t="s">
        <v>1</v>
      </c>
      <c r="E47" s="13" t="s">
        <v>229</v>
      </c>
      <c r="F47" s="13" t="s">
        <v>20</v>
      </c>
      <c r="G47" s="15">
        <v>24</v>
      </c>
    </row>
    <row r="48" spans="1:7" ht="16.95" customHeight="1" x14ac:dyDescent="0.25">
      <c r="A48" s="29" t="s">
        <v>234</v>
      </c>
      <c r="B48" s="13" t="s">
        <v>0</v>
      </c>
      <c r="C48" s="13" t="s">
        <v>58</v>
      </c>
      <c r="D48" s="13" t="s">
        <v>1</v>
      </c>
      <c r="E48" s="13" t="s">
        <v>235</v>
      </c>
      <c r="F48" s="14"/>
      <c r="G48" s="15">
        <f>SUM(G49)</f>
        <v>21.5</v>
      </c>
    </row>
    <row r="49" spans="1:7" ht="28.2" customHeight="1" x14ac:dyDescent="0.25">
      <c r="A49" s="29" t="s">
        <v>115</v>
      </c>
      <c r="B49" s="13" t="s">
        <v>0</v>
      </c>
      <c r="C49" s="13" t="s">
        <v>58</v>
      </c>
      <c r="D49" s="13" t="s">
        <v>1</v>
      </c>
      <c r="E49" s="13" t="s">
        <v>235</v>
      </c>
      <c r="F49" s="14" t="s">
        <v>20</v>
      </c>
      <c r="G49" s="15">
        <v>21.5</v>
      </c>
    </row>
    <row r="50" spans="1:7" ht="17.399999999999999" customHeight="1" x14ac:dyDescent="0.25">
      <c r="A50" s="29" t="s">
        <v>211</v>
      </c>
      <c r="B50" s="14" t="s">
        <v>0</v>
      </c>
      <c r="C50" s="16">
        <v>1</v>
      </c>
      <c r="D50" s="13" t="s">
        <v>1</v>
      </c>
      <c r="E50" s="13" t="s">
        <v>212</v>
      </c>
      <c r="F50" s="14"/>
      <c r="G50" s="15">
        <f>G51</f>
        <v>0</v>
      </c>
    </row>
    <row r="51" spans="1:7" ht="30.6" customHeight="1" x14ac:dyDescent="0.25">
      <c r="A51" s="29" t="s">
        <v>114</v>
      </c>
      <c r="B51" s="14" t="s">
        <v>0</v>
      </c>
      <c r="C51" s="16">
        <v>1</v>
      </c>
      <c r="D51" s="13" t="s">
        <v>1</v>
      </c>
      <c r="E51" s="13" t="s">
        <v>212</v>
      </c>
      <c r="F51" s="14" t="s">
        <v>19</v>
      </c>
      <c r="G51" s="15"/>
    </row>
    <row r="52" spans="1:7" ht="140.4" x14ac:dyDescent="0.25">
      <c r="A52" s="30" t="s">
        <v>355</v>
      </c>
      <c r="B52" s="13" t="s">
        <v>0</v>
      </c>
      <c r="C52" s="13" t="s">
        <v>58</v>
      </c>
      <c r="D52" s="13" t="s">
        <v>1</v>
      </c>
      <c r="E52" s="14" t="s">
        <v>312</v>
      </c>
      <c r="F52" s="14"/>
      <c r="G52" s="15">
        <f>G53</f>
        <v>0</v>
      </c>
    </row>
    <row r="53" spans="1:7" ht="33" customHeight="1" x14ac:dyDescent="0.25">
      <c r="A53" s="30" t="s">
        <v>116</v>
      </c>
      <c r="B53" s="13" t="s">
        <v>0</v>
      </c>
      <c r="C53" s="13" t="s">
        <v>58</v>
      </c>
      <c r="D53" s="13" t="s">
        <v>1</v>
      </c>
      <c r="E53" s="14" t="s">
        <v>312</v>
      </c>
      <c r="F53" s="14" t="s">
        <v>111</v>
      </c>
      <c r="G53" s="15">
        <f>50465.5+50996.8-101462.3</f>
        <v>0</v>
      </c>
    </row>
    <row r="54" spans="1:7" ht="109.5" customHeight="1" x14ac:dyDescent="0.25">
      <c r="A54" s="31" t="s">
        <v>351</v>
      </c>
      <c r="B54" s="13" t="s">
        <v>0</v>
      </c>
      <c r="C54" s="13" t="s">
        <v>58</v>
      </c>
      <c r="D54" s="13" t="s">
        <v>1</v>
      </c>
      <c r="E54" s="13" t="s">
        <v>352</v>
      </c>
      <c r="F54" s="14"/>
      <c r="G54" s="15">
        <f>SUM(G55)</f>
        <v>0</v>
      </c>
    </row>
    <row r="55" spans="1:7" ht="33" customHeight="1" x14ac:dyDescent="0.25">
      <c r="A55" s="30" t="s">
        <v>116</v>
      </c>
      <c r="B55" s="13" t="s">
        <v>0</v>
      </c>
      <c r="C55" s="13" t="s">
        <v>58</v>
      </c>
      <c r="D55" s="13" t="s">
        <v>1</v>
      </c>
      <c r="E55" s="13" t="s">
        <v>352</v>
      </c>
      <c r="F55" s="14" t="s">
        <v>111</v>
      </c>
      <c r="G55" s="15"/>
    </row>
    <row r="56" spans="1:7" ht="61.95" customHeight="1" x14ac:dyDescent="0.25">
      <c r="A56" s="31" t="s">
        <v>186</v>
      </c>
      <c r="B56" s="13" t="s">
        <v>0</v>
      </c>
      <c r="C56" s="13" t="s">
        <v>58</v>
      </c>
      <c r="D56" s="13" t="s">
        <v>1</v>
      </c>
      <c r="E56" s="13" t="s">
        <v>92</v>
      </c>
      <c r="F56" s="14"/>
      <c r="G56" s="15">
        <f>SUM(G57:G59)</f>
        <v>15346</v>
      </c>
    </row>
    <row r="57" spans="1:7" ht="33.6" customHeight="1" x14ac:dyDescent="0.25">
      <c r="A57" s="29" t="s">
        <v>114</v>
      </c>
      <c r="B57" s="13" t="s">
        <v>0</v>
      </c>
      <c r="C57" s="13" t="s">
        <v>58</v>
      </c>
      <c r="D57" s="13" t="s">
        <v>1</v>
      </c>
      <c r="E57" s="13" t="s">
        <v>92</v>
      </c>
      <c r="F57" s="14" t="s">
        <v>19</v>
      </c>
      <c r="G57" s="15">
        <v>73.2</v>
      </c>
    </row>
    <row r="58" spans="1:7" ht="34.950000000000003" customHeight="1" x14ac:dyDescent="0.25">
      <c r="A58" s="29" t="s">
        <v>107</v>
      </c>
      <c r="B58" s="13" t="s">
        <v>0</v>
      </c>
      <c r="C58" s="13" t="s">
        <v>58</v>
      </c>
      <c r="D58" s="13" t="s">
        <v>1</v>
      </c>
      <c r="E58" s="13" t="s">
        <v>92</v>
      </c>
      <c r="F58" s="14" t="s">
        <v>20</v>
      </c>
      <c r="G58" s="15">
        <v>153.5</v>
      </c>
    </row>
    <row r="59" spans="1:7" ht="20.399999999999999" customHeight="1" x14ac:dyDescent="0.25">
      <c r="A59" s="29" t="s">
        <v>108</v>
      </c>
      <c r="B59" s="13" t="s">
        <v>0</v>
      </c>
      <c r="C59" s="13" t="s">
        <v>58</v>
      </c>
      <c r="D59" s="13" t="s">
        <v>1</v>
      </c>
      <c r="E59" s="13" t="s">
        <v>92</v>
      </c>
      <c r="F59" s="14" t="s">
        <v>109</v>
      </c>
      <c r="G59" s="15">
        <v>15119.3</v>
      </c>
    </row>
    <row r="60" spans="1:7" ht="63.6" customHeight="1" x14ac:dyDescent="0.25">
      <c r="A60" s="31" t="s">
        <v>187</v>
      </c>
      <c r="B60" s="13" t="s">
        <v>0</v>
      </c>
      <c r="C60" s="13" t="s">
        <v>58</v>
      </c>
      <c r="D60" s="13" t="s">
        <v>1</v>
      </c>
      <c r="E60" s="13" t="s">
        <v>86</v>
      </c>
      <c r="F60" s="14"/>
      <c r="G60" s="15">
        <f>SUM(G61:G62)</f>
        <v>1797232.5</v>
      </c>
    </row>
    <row r="61" spans="1:7" ht="49.2" customHeight="1" x14ac:dyDescent="0.25">
      <c r="A61" s="29" t="s">
        <v>114</v>
      </c>
      <c r="B61" s="13" t="s">
        <v>0</v>
      </c>
      <c r="C61" s="13" t="s">
        <v>58</v>
      </c>
      <c r="D61" s="13" t="s">
        <v>1</v>
      </c>
      <c r="E61" s="13" t="s">
        <v>86</v>
      </c>
      <c r="F61" s="14" t="s">
        <v>19</v>
      </c>
      <c r="G61" s="15">
        <f>8773.5+16038.5-335-910.4+1574.2+315.8</f>
        <v>25456.6</v>
      </c>
    </row>
    <row r="62" spans="1:7" ht="30.75" customHeight="1" x14ac:dyDescent="0.25">
      <c r="A62" s="30" t="s">
        <v>116</v>
      </c>
      <c r="B62" s="13" t="s">
        <v>0</v>
      </c>
      <c r="C62" s="13" t="s">
        <v>58</v>
      </c>
      <c r="D62" s="13" t="s">
        <v>1</v>
      </c>
      <c r="E62" s="13" t="s">
        <v>86</v>
      </c>
      <c r="F62" s="14" t="s">
        <v>111</v>
      </c>
      <c r="G62" s="15">
        <f>584902.5+1057940.8+11295.2+335-5622.5+910.4+86463.3+18479.7+16010.8+1060.7</f>
        <v>1771775.9</v>
      </c>
    </row>
    <row r="63" spans="1:7" s="96" customFormat="1" ht="32.25" customHeight="1" x14ac:dyDescent="0.25">
      <c r="A63" s="31" t="s">
        <v>99</v>
      </c>
      <c r="B63" s="13" t="s">
        <v>0</v>
      </c>
      <c r="C63" s="13" t="s">
        <v>58</v>
      </c>
      <c r="D63" s="13" t="s">
        <v>2</v>
      </c>
      <c r="E63" s="13"/>
      <c r="F63" s="14"/>
      <c r="G63" s="15">
        <f>SUM(G64+G68)</f>
        <v>2339.1</v>
      </c>
    </row>
    <row r="64" spans="1:7" s="96" customFormat="1" ht="19.5" customHeight="1" x14ac:dyDescent="0.25">
      <c r="A64" s="31" t="s">
        <v>366</v>
      </c>
      <c r="B64" s="13" t="s">
        <v>0</v>
      </c>
      <c r="C64" s="13" t="s">
        <v>58</v>
      </c>
      <c r="D64" s="13" t="s">
        <v>2</v>
      </c>
      <c r="E64" s="13" t="s">
        <v>100</v>
      </c>
      <c r="F64" s="14"/>
      <c r="G64" s="15">
        <f>SUM(G65:G67)</f>
        <v>1199.8</v>
      </c>
    </row>
    <row r="65" spans="1:7" s="96" customFormat="1" ht="49.2" customHeight="1" x14ac:dyDescent="0.25">
      <c r="A65" s="29" t="s">
        <v>114</v>
      </c>
      <c r="B65" s="13" t="s">
        <v>0</v>
      </c>
      <c r="C65" s="13" t="s">
        <v>58</v>
      </c>
      <c r="D65" s="13" t="s">
        <v>2</v>
      </c>
      <c r="E65" s="13" t="s">
        <v>100</v>
      </c>
      <c r="F65" s="14" t="s">
        <v>19</v>
      </c>
      <c r="G65" s="15">
        <v>727.1</v>
      </c>
    </row>
    <row r="66" spans="1:7" s="96" customFormat="1" ht="31.2" x14ac:dyDescent="0.25">
      <c r="A66" s="29" t="s">
        <v>115</v>
      </c>
      <c r="B66" s="13" t="s">
        <v>0</v>
      </c>
      <c r="C66" s="13" t="s">
        <v>58</v>
      </c>
      <c r="D66" s="13" t="s">
        <v>2</v>
      </c>
      <c r="E66" s="13" t="s">
        <v>100</v>
      </c>
      <c r="F66" s="14" t="s">
        <v>20</v>
      </c>
      <c r="G66" s="15">
        <v>472.7</v>
      </c>
    </row>
    <row r="67" spans="1:7" s="96" customFormat="1" ht="31.2" x14ac:dyDescent="0.25">
      <c r="A67" s="30" t="s">
        <v>116</v>
      </c>
      <c r="B67" s="13" t="s">
        <v>0</v>
      </c>
      <c r="C67" s="13" t="s">
        <v>58</v>
      </c>
      <c r="D67" s="13" t="s">
        <v>2</v>
      </c>
      <c r="E67" s="13" t="s">
        <v>100</v>
      </c>
      <c r="F67" s="14" t="s">
        <v>111</v>
      </c>
      <c r="G67" s="15">
        <f>1199.8-1199.8</f>
        <v>0</v>
      </c>
    </row>
    <row r="68" spans="1:7" s="96" customFormat="1" ht="62.4" x14ac:dyDescent="0.25">
      <c r="A68" s="29" t="s">
        <v>136</v>
      </c>
      <c r="B68" s="13" t="s">
        <v>0</v>
      </c>
      <c r="C68" s="13" t="s">
        <v>58</v>
      </c>
      <c r="D68" s="13" t="s">
        <v>2</v>
      </c>
      <c r="E68" s="13" t="s">
        <v>135</v>
      </c>
      <c r="F68" s="14"/>
      <c r="G68" s="15">
        <f>G69+G71+G70</f>
        <v>1139.3</v>
      </c>
    </row>
    <row r="69" spans="1:7" s="96" customFormat="1" ht="48" customHeight="1" x14ac:dyDescent="0.25">
      <c r="A69" s="29" t="s">
        <v>114</v>
      </c>
      <c r="B69" s="13" t="s">
        <v>0</v>
      </c>
      <c r="C69" s="13" t="s">
        <v>58</v>
      </c>
      <c r="D69" s="13" t="s">
        <v>2</v>
      </c>
      <c r="E69" s="13" t="s">
        <v>135</v>
      </c>
      <c r="F69" s="14" t="s">
        <v>19</v>
      </c>
      <c r="G69" s="15">
        <v>436</v>
      </c>
    </row>
    <row r="70" spans="1:7" s="96" customFormat="1" ht="34.200000000000003" customHeight="1" x14ac:dyDescent="0.25">
      <c r="A70" s="29" t="s">
        <v>115</v>
      </c>
      <c r="B70" s="13" t="s">
        <v>0</v>
      </c>
      <c r="C70" s="13" t="s">
        <v>58</v>
      </c>
      <c r="D70" s="13" t="s">
        <v>2</v>
      </c>
      <c r="E70" s="13" t="s">
        <v>135</v>
      </c>
      <c r="F70" s="14" t="s">
        <v>20</v>
      </c>
      <c r="G70" s="15"/>
    </row>
    <row r="71" spans="1:7" s="96" customFormat="1" ht="34.5" customHeight="1" x14ac:dyDescent="0.25">
      <c r="A71" s="30" t="s">
        <v>116</v>
      </c>
      <c r="B71" s="13" t="s">
        <v>0</v>
      </c>
      <c r="C71" s="13" t="s">
        <v>58</v>
      </c>
      <c r="D71" s="13" t="s">
        <v>2</v>
      </c>
      <c r="E71" s="13" t="s">
        <v>135</v>
      </c>
      <c r="F71" s="14" t="s">
        <v>111</v>
      </c>
      <c r="G71" s="15">
        <f>703.3</f>
        <v>703.3</v>
      </c>
    </row>
    <row r="72" spans="1:7" ht="18.75" customHeight="1" x14ac:dyDescent="0.25">
      <c r="A72" s="31" t="s">
        <v>88</v>
      </c>
      <c r="B72" s="13" t="s">
        <v>0</v>
      </c>
      <c r="C72" s="13" t="s">
        <v>58</v>
      </c>
      <c r="D72" s="13" t="s">
        <v>3</v>
      </c>
      <c r="E72" s="13"/>
      <c r="F72" s="14"/>
      <c r="G72" s="15">
        <f>SUM(G75+G85+G77+G79+G91+G88+G95+G81+G83+G73+G93)</f>
        <v>209693.2</v>
      </c>
    </row>
    <row r="73" spans="1:7" ht="50.4" customHeight="1" x14ac:dyDescent="0.25">
      <c r="A73" s="31" t="s">
        <v>560</v>
      </c>
      <c r="B73" s="13" t="s">
        <v>0</v>
      </c>
      <c r="C73" s="13" t="s">
        <v>58</v>
      </c>
      <c r="D73" s="13" t="s">
        <v>3</v>
      </c>
      <c r="E73" s="13" t="s">
        <v>558</v>
      </c>
      <c r="F73" s="14"/>
      <c r="G73" s="15">
        <f>G74</f>
        <v>34323</v>
      </c>
    </row>
    <row r="74" spans="1:7" ht="31.95" customHeight="1" x14ac:dyDescent="0.25">
      <c r="A74" s="30" t="s">
        <v>116</v>
      </c>
      <c r="B74" s="13" t="s">
        <v>0</v>
      </c>
      <c r="C74" s="13" t="s">
        <v>58</v>
      </c>
      <c r="D74" s="13" t="s">
        <v>3</v>
      </c>
      <c r="E74" s="13" t="s">
        <v>558</v>
      </c>
      <c r="F74" s="14" t="s">
        <v>111</v>
      </c>
      <c r="G74" s="15">
        <f>17161.5+17161.5-7855.7+7855.7</f>
        <v>34323</v>
      </c>
    </row>
    <row r="75" spans="1:7" ht="33.6" customHeight="1" x14ac:dyDescent="0.25">
      <c r="A75" s="32" t="s">
        <v>141</v>
      </c>
      <c r="B75" s="13" t="s">
        <v>0</v>
      </c>
      <c r="C75" s="13" t="s">
        <v>58</v>
      </c>
      <c r="D75" s="13" t="s">
        <v>3</v>
      </c>
      <c r="E75" s="13" t="s">
        <v>89</v>
      </c>
      <c r="F75" s="14"/>
      <c r="G75" s="15">
        <f>SUM(G76:G76)</f>
        <v>1757</v>
      </c>
    </row>
    <row r="76" spans="1:7" ht="33.6" customHeight="1" x14ac:dyDescent="0.25">
      <c r="A76" s="30" t="s">
        <v>116</v>
      </c>
      <c r="B76" s="13" t="s">
        <v>0</v>
      </c>
      <c r="C76" s="13" t="s">
        <v>58</v>
      </c>
      <c r="D76" s="13" t="s">
        <v>3</v>
      </c>
      <c r="E76" s="13" t="s">
        <v>89</v>
      </c>
      <c r="F76" s="14" t="s">
        <v>111</v>
      </c>
      <c r="G76" s="15">
        <f>1878.5+1878.5-2000</f>
        <v>1757</v>
      </c>
    </row>
    <row r="77" spans="1:7" ht="34.200000000000003" customHeight="1" x14ac:dyDescent="0.25">
      <c r="A77" s="32" t="s">
        <v>153</v>
      </c>
      <c r="B77" s="13" t="s">
        <v>0</v>
      </c>
      <c r="C77" s="13" t="s">
        <v>58</v>
      </c>
      <c r="D77" s="13" t="s">
        <v>3</v>
      </c>
      <c r="E77" s="13" t="s">
        <v>142</v>
      </c>
      <c r="F77" s="14"/>
      <c r="G77" s="15">
        <f>SUM(G78)</f>
        <v>22840.699999999997</v>
      </c>
    </row>
    <row r="78" spans="1:7" ht="33" customHeight="1" x14ac:dyDescent="0.25">
      <c r="A78" s="30" t="s">
        <v>116</v>
      </c>
      <c r="B78" s="13" t="s">
        <v>0</v>
      </c>
      <c r="C78" s="13" t="s">
        <v>58</v>
      </c>
      <c r="D78" s="13" t="s">
        <v>3</v>
      </c>
      <c r="E78" s="13" t="s">
        <v>142</v>
      </c>
      <c r="F78" s="14" t="s">
        <v>111</v>
      </c>
      <c r="G78" s="15">
        <f>11420.3+11420.4</f>
        <v>22840.699999999997</v>
      </c>
    </row>
    <row r="79" spans="1:7" ht="82.5" customHeight="1" x14ac:dyDescent="0.25">
      <c r="A79" s="29" t="s">
        <v>207</v>
      </c>
      <c r="B79" s="13" t="s">
        <v>0</v>
      </c>
      <c r="C79" s="13" t="s">
        <v>58</v>
      </c>
      <c r="D79" s="13" t="s">
        <v>3</v>
      </c>
      <c r="E79" s="13" t="s">
        <v>194</v>
      </c>
      <c r="F79" s="14"/>
      <c r="G79" s="15">
        <f>G80</f>
        <v>1011</v>
      </c>
    </row>
    <row r="80" spans="1:7" s="96" customFormat="1" ht="38.25" customHeight="1" x14ac:dyDescent="0.25">
      <c r="A80" s="30" t="s">
        <v>116</v>
      </c>
      <c r="B80" s="13" t="s">
        <v>0</v>
      </c>
      <c r="C80" s="13" t="s">
        <v>58</v>
      </c>
      <c r="D80" s="13" t="s">
        <v>3</v>
      </c>
      <c r="E80" s="13" t="s">
        <v>194</v>
      </c>
      <c r="F80" s="14" t="s">
        <v>111</v>
      </c>
      <c r="G80" s="15">
        <f>338.6+672.4</f>
        <v>1011</v>
      </c>
    </row>
    <row r="81" spans="1:7" s="96" customFormat="1" x14ac:dyDescent="0.25">
      <c r="A81" s="29" t="s">
        <v>278</v>
      </c>
      <c r="B81" s="13" t="s">
        <v>0</v>
      </c>
      <c r="C81" s="13" t="s">
        <v>58</v>
      </c>
      <c r="D81" s="13" t="s">
        <v>3</v>
      </c>
      <c r="E81" s="13" t="s">
        <v>279</v>
      </c>
      <c r="F81" s="14"/>
      <c r="G81" s="15">
        <f>SUM(G82)</f>
        <v>1451.5</v>
      </c>
    </row>
    <row r="82" spans="1:7" s="96" customFormat="1" ht="37.5" customHeight="1" x14ac:dyDescent="0.25">
      <c r="A82" s="30" t="s">
        <v>116</v>
      </c>
      <c r="B82" s="13" t="s">
        <v>0</v>
      </c>
      <c r="C82" s="13" t="s">
        <v>58</v>
      </c>
      <c r="D82" s="13" t="s">
        <v>3</v>
      </c>
      <c r="E82" s="13" t="s">
        <v>279</v>
      </c>
      <c r="F82" s="14" t="s">
        <v>111</v>
      </c>
      <c r="G82" s="15">
        <f>725.7+725.8</f>
        <v>1451.5</v>
      </c>
    </row>
    <row r="83" spans="1:7" s="96" customFormat="1" ht="33" customHeight="1" x14ac:dyDescent="0.25">
      <c r="A83" s="29" t="s">
        <v>291</v>
      </c>
      <c r="B83" s="13" t="s">
        <v>0</v>
      </c>
      <c r="C83" s="13" t="s">
        <v>58</v>
      </c>
      <c r="D83" s="13" t="s">
        <v>3</v>
      </c>
      <c r="E83" s="13" t="s">
        <v>290</v>
      </c>
      <c r="F83" s="14"/>
      <c r="G83" s="15">
        <f>G84</f>
        <v>13.5</v>
      </c>
    </row>
    <row r="84" spans="1:7" s="96" customFormat="1" ht="32.25" customHeight="1" x14ac:dyDescent="0.25">
      <c r="A84" s="30" t="s">
        <v>116</v>
      </c>
      <c r="B84" s="13" t="s">
        <v>0</v>
      </c>
      <c r="C84" s="13" t="s">
        <v>58</v>
      </c>
      <c r="D84" s="13" t="s">
        <v>3</v>
      </c>
      <c r="E84" s="13" t="s">
        <v>290</v>
      </c>
      <c r="F84" s="14" t="s">
        <v>111</v>
      </c>
      <c r="G84" s="15">
        <v>13.5</v>
      </c>
    </row>
    <row r="85" spans="1:7" s="96" customFormat="1" ht="112.5" customHeight="1" x14ac:dyDescent="0.25">
      <c r="A85" s="31" t="s">
        <v>345</v>
      </c>
      <c r="B85" s="13" t="s">
        <v>0</v>
      </c>
      <c r="C85" s="13" t="s">
        <v>58</v>
      </c>
      <c r="D85" s="13" t="s">
        <v>3</v>
      </c>
      <c r="E85" s="13" t="s">
        <v>90</v>
      </c>
      <c r="F85" s="14"/>
      <c r="G85" s="15">
        <f>SUM(G86:G87)</f>
        <v>37130</v>
      </c>
    </row>
    <row r="86" spans="1:7" s="96" customFormat="1" ht="46.8" x14ac:dyDescent="0.25">
      <c r="A86" s="29" t="s">
        <v>114</v>
      </c>
      <c r="B86" s="13" t="s">
        <v>0</v>
      </c>
      <c r="C86" s="13" t="s">
        <v>58</v>
      </c>
      <c r="D86" s="13" t="s">
        <v>3</v>
      </c>
      <c r="E86" s="13" t="s">
        <v>90</v>
      </c>
      <c r="F86" s="14" t="s">
        <v>19</v>
      </c>
      <c r="G86" s="15">
        <v>548.70000000000005</v>
      </c>
    </row>
    <row r="87" spans="1:7" s="96" customFormat="1" ht="33.75" customHeight="1" x14ac:dyDescent="0.25">
      <c r="A87" s="30" t="s">
        <v>116</v>
      </c>
      <c r="B87" s="13" t="s">
        <v>0</v>
      </c>
      <c r="C87" s="13" t="s">
        <v>58</v>
      </c>
      <c r="D87" s="13" t="s">
        <v>3</v>
      </c>
      <c r="E87" s="13" t="s">
        <v>90</v>
      </c>
      <c r="F87" s="14" t="s">
        <v>111</v>
      </c>
      <c r="G87" s="15">
        <v>36581.300000000003</v>
      </c>
    </row>
    <row r="88" spans="1:7" s="96" customFormat="1" ht="78" x14ac:dyDescent="0.25">
      <c r="A88" s="29" t="s">
        <v>478</v>
      </c>
      <c r="B88" s="13" t="s">
        <v>0</v>
      </c>
      <c r="C88" s="13" t="s">
        <v>58</v>
      </c>
      <c r="D88" s="13" t="s">
        <v>3</v>
      </c>
      <c r="E88" s="13" t="s">
        <v>245</v>
      </c>
      <c r="F88" s="14"/>
      <c r="G88" s="15">
        <f>SUM(G89+G90)</f>
        <v>2105.4</v>
      </c>
    </row>
    <row r="89" spans="1:7" s="96" customFormat="1" ht="51" customHeight="1" x14ac:dyDescent="0.25">
      <c r="A89" s="29" t="s">
        <v>114</v>
      </c>
      <c r="B89" s="13" t="s">
        <v>0</v>
      </c>
      <c r="C89" s="13" t="s">
        <v>58</v>
      </c>
      <c r="D89" s="13" t="s">
        <v>3</v>
      </c>
      <c r="E89" s="13" t="s">
        <v>245</v>
      </c>
      <c r="F89" s="14" t="s">
        <v>19</v>
      </c>
      <c r="G89" s="15">
        <v>31.1</v>
      </c>
    </row>
    <row r="90" spans="1:7" s="96" customFormat="1" ht="33.6" customHeight="1" x14ac:dyDescent="0.25">
      <c r="A90" s="30" t="s">
        <v>116</v>
      </c>
      <c r="B90" s="13" t="s">
        <v>0</v>
      </c>
      <c r="C90" s="13" t="s">
        <v>58</v>
      </c>
      <c r="D90" s="13" t="s">
        <v>3</v>
      </c>
      <c r="E90" s="13" t="s">
        <v>245</v>
      </c>
      <c r="F90" s="14" t="s">
        <v>111</v>
      </c>
      <c r="G90" s="15">
        <v>2074.3000000000002</v>
      </c>
    </row>
    <row r="91" spans="1:7" s="96" customFormat="1" ht="46.95" customHeight="1" x14ac:dyDescent="0.25">
      <c r="A91" s="29" t="s">
        <v>529</v>
      </c>
      <c r="B91" s="13" t="s">
        <v>0</v>
      </c>
      <c r="C91" s="13" t="s">
        <v>58</v>
      </c>
      <c r="D91" s="13" t="s">
        <v>3</v>
      </c>
      <c r="E91" s="13" t="s">
        <v>210</v>
      </c>
      <c r="F91" s="14"/>
      <c r="G91" s="15">
        <f>G92</f>
        <v>0</v>
      </c>
    </row>
    <row r="92" spans="1:7" s="96" customFormat="1" ht="29.4" customHeight="1" x14ac:dyDescent="0.25">
      <c r="A92" s="30" t="s">
        <v>116</v>
      </c>
      <c r="B92" s="13" t="s">
        <v>0</v>
      </c>
      <c r="C92" s="13" t="s">
        <v>58</v>
      </c>
      <c r="D92" s="13" t="s">
        <v>3</v>
      </c>
      <c r="E92" s="13" t="s">
        <v>210</v>
      </c>
      <c r="F92" s="14" t="s">
        <v>111</v>
      </c>
      <c r="G92" s="15">
        <f>92457-86909.5-5547.5</f>
        <v>0</v>
      </c>
    </row>
    <row r="93" spans="1:7" s="96" customFormat="1" ht="79.95" customHeight="1" x14ac:dyDescent="0.25">
      <c r="A93" s="29" t="s">
        <v>586</v>
      </c>
      <c r="B93" s="13" t="s">
        <v>0</v>
      </c>
      <c r="C93" s="13" t="s">
        <v>58</v>
      </c>
      <c r="D93" s="13" t="s">
        <v>3</v>
      </c>
      <c r="E93" s="13" t="s">
        <v>585</v>
      </c>
      <c r="F93" s="14"/>
      <c r="G93" s="15">
        <f>G94</f>
        <v>92457</v>
      </c>
    </row>
    <row r="94" spans="1:7" s="96" customFormat="1" ht="29.4" customHeight="1" x14ac:dyDescent="0.25">
      <c r="A94" s="30" t="s">
        <v>116</v>
      </c>
      <c r="B94" s="13" t="s">
        <v>0</v>
      </c>
      <c r="C94" s="13" t="s">
        <v>58</v>
      </c>
      <c r="D94" s="13" t="s">
        <v>3</v>
      </c>
      <c r="E94" s="13" t="s">
        <v>585</v>
      </c>
      <c r="F94" s="14" t="s">
        <v>111</v>
      </c>
      <c r="G94" s="15">
        <f>86909.5+5547.5</f>
        <v>92457</v>
      </c>
    </row>
    <row r="95" spans="1:7" s="96" customFormat="1" ht="46.95" customHeight="1" x14ac:dyDescent="0.25">
      <c r="A95" s="29" t="s">
        <v>353</v>
      </c>
      <c r="B95" s="13" t="s">
        <v>0</v>
      </c>
      <c r="C95" s="13" t="s">
        <v>58</v>
      </c>
      <c r="D95" s="13" t="s">
        <v>3</v>
      </c>
      <c r="E95" s="13" t="s">
        <v>242</v>
      </c>
      <c r="F95" s="14"/>
      <c r="G95" s="15">
        <f>SUM(G96)</f>
        <v>16604.099999999999</v>
      </c>
    </row>
    <row r="96" spans="1:7" s="96" customFormat="1" ht="34.200000000000003" customHeight="1" x14ac:dyDescent="0.25">
      <c r="A96" s="30" t="s">
        <v>116</v>
      </c>
      <c r="B96" s="13" t="s">
        <v>0</v>
      </c>
      <c r="C96" s="13" t="s">
        <v>58</v>
      </c>
      <c r="D96" s="13" t="s">
        <v>3</v>
      </c>
      <c r="E96" s="13" t="s">
        <v>242</v>
      </c>
      <c r="F96" s="14" t="s">
        <v>111</v>
      </c>
      <c r="G96" s="15">
        <f>16604.1</f>
        <v>16604.099999999999</v>
      </c>
    </row>
    <row r="97" spans="1:7" s="96" customFormat="1" ht="34.950000000000003" customHeight="1" x14ac:dyDescent="0.25">
      <c r="A97" s="31" t="s">
        <v>572</v>
      </c>
      <c r="B97" s="13" t="s">
        <v>0</v>
      </c>
      <c r="C97" s="13" t="s">
        <v>58</v>
      </c>
      <c r="D97" s="13" t="s">
        <v>4</v>
      </c>
      <c r="E97" s="13"/>
      <c r="F97" s="14"/>
      <c r="G97" s="15">
        <f>G98+G101+G103</f>
        <v>5856.4000000000005</v>
      </c>
    </row>
    <row r="98" spans="1:7" s="96" customFormat="1" ht="18" customHeight="1" x14ac:dyDescent="0.25">
      <c r="A98" s="31" t="s">
        <v>221</v>
      </c>
      <c r="B98" s="13" t="s">
        <v>0</v>
      </c>
      <c r="C98" s="13" t="s">
        <v>58</v>
      </c>
      <c r="D98" s="13" t="s">
        <v>4</v>
      </c>
      <c r="E98" s="13" t="s">
        <v>220</v>
      </c>
      <c r="F98" s="14"/>
      <c r="G98" s="15">
        <f>G99+G100</f>
        <v>0</v>
      </c>
    </row>
    <row r="99" spans="1:7" s="96" customFormat="1" ht="31.2" customHeight="1" x14ac:dyDescent="0.25">
      <c r="A99" s="31" t="s">
        <v>115</v>
      </c>
      <c r="B99" s="13" t="s">
        <v>0</v>
      </c>
      <c r="C99" s="13" t="s">
        <v>58</v>
      </c>
      <c r="D99" s="13" t="s">
        <v>4</v>
      </c>
      <c r="E99" s="13" t="s">
        <v>220</v>
      </c>
      <c r="F99" s="14" t="s">
        <v>20</v>
      </c>
      <c r="G99" s="15"/>
    </row>
    <row r="100" spans="1:7" s="96" customFormat="1" ht="33.6" customHeight="1" x14ac:dyDescent="0.25">
      <c r="A100" s="30" t="s">
        <v>116</v>
      </c>
      <c r="B100" s="13" t="s">
        <v>0</v>
      </c>
      <c r="C100" s="13" t="s">
        <v>58</v>
      </c>
      <c r="D100" s="13" t="s">
        <v>4</v>
      </c>
      <c r="E100" s="13" t="s">
        <v>220</v>
      </c>
      <c r="F100" s="14" t="s">
        <v>111</v>
      </c>
      <c r="G100" s="15"/>
    </row>
    <row r="101" spans="1:7" s="96" customFormat="1" ht="32.25" customHeight="1" x14ac:dyDescent="0.25">
      <c r="A101" s="31" t="s">
        <v>201</v>
      </c>
      <c r="B101" s="13" t="s">
        <v>0</v>
      </c>
      <c r="C101" s="13" t="s">
        <v>58</v>
      </c>
      <c r="D101" s="13" t="s">
        <v>4</v>
      </c>
      <c r="E101" s="13" t="s">
        <v>202</v>
      </c>
      <c r="F101" s="14"/>
      <c r="G101" s="15">
        <f>G102</f>
        <v>210</v>
      </c>
    </row>
    <row r="102" spans="1:7" s="96" customFormat="1" ht="33" customHeight="1" x14ac:dyDescent="0.25">
      <c r="A102" s="29" t="s">
        <v>115</v>
      </c>
      <c r="B102" s="13" t="s">
        <v>0</v>
      </c>
      <c r="C102" s="13" t="s">
        <v>58</v>
      </c>
      <c r="D102" s="13" t="s">
        <v>4</v>
      </c>
      <c r="E102" s="13" t="s">
        <v>202</v>
      </c>
      <c r="F102" s="14" t="s">
        <v>20</v>
      </c>
      <c r="G102" s="15">
        <v>210</v>
      </c>
    </row>
    <row r="103" spans="1:7" s="96" customFormat="1" ht="128.4" customHeight="1" x14ac:dyDescent="0.25">
      <c r="A103" s="29" t="s">
        <v>185</v>
      </c>
      <c r="B103" s="13" t="s">
        <v>0</v>
      </c>
      <c r="C103" s="13" t="s">
        <v>58</v>
      </c>
      <c r="D103" s="13" t="s">
        <v>4</v>
      </c>
      <c r="E103" s="13" t="s">
        <v>137</v>
      </c>
      <c r="F103" s="14"/>
      <c r="G103" s="15">
        <f>SUM(G104:G107)</f>
        <v>5646.4000000000005</v>
      </c>
    </row>
    <row r="104" spans="1:7" s="96" customFormat="1" ht="48" customHeight="1" x14ac:dyDescent="0.25">
      <c r="A104" s="29" t="s">
        <v>114</v>
      </c>
      <c r="B104" s="13" t="s">
        <v>0</v>
      </c>
      <c r="C104" s="13" t="s">
        <v>58</v>
      </c>
      <c r="D104" s="13" t="s">
        <v>4</v>
      </c>
      <c r="E104" s="13" t="s">
        <v>137</v>
      </c>
      <c r="F104" s="14" t="s">
        <v>19</v>
      </c>
      <c r="G104" s="15">
        <v>73.599999999999994</v>
      </c>
    </row>
    <row r="105" spans="1:7" s="96" customFormat="1" ht="34.200000000000003" customHeight="1" x14ac:dyDescent="0.25">
      <c r="A105" s="29" t="s">
        <v>115</v>
      </c>
      <c r="B105" s="13" t="s">
        <v>0</v>
      </c>
      <c r="C105" s="13" t="s">
        <v>58</v>
      </c>
      <c r="D105" s="13" t="s">
        <v>4</v>
      </c>
      <c r="E105" s="13" t="s">
        <v>137</v>
      </c>
      <c r="F105" s="14" t="s">
        <v>20</v>
      </c>
      <c r="G105" s="15">
        <f>25-8.8</f>
        <v>16.2</v>
      </c>
    </row>
    <row r="106" spans="1:7" s="96" customFormat="1" ht="21" customHeight="1" x14ac:dyDescent="0.25">
      <c r="A106" s="29" t="s">
        <v>108</v>
      </c>
      <c r="B106" s="13" t="s">
        <v>0</v>
      </c>
      <c r="C106" s="13" t="s">
        <v>58</v>
      </c>
      <c r="D106" s="13" t="s">
        <v>4</v>
      </c>
      <c r="E106" s="13" t="s">
        <v>137</v>
      </c>
      <c r="F106" s="14" t="s">
        <v>109</v>
      </c>
      <c r="G106" s="15">
        <f>3385.4-194.5+452.4</f>
        <v>3643.3</v>
      </c>
    </row>
    <row r="107" spans="1:7" s="96" customFormat="1" ht="31.2" customHeight="1" x14ac:dyDescent="0.25">
      <c r="A107" s="30" t="s">
        <v>116</v>
      </c>
      <c r="B107" s="13" t="s">
        <v>0</v>
      </c>
      <c r="C107" s="13" t="s">
        <v>58</v>
      </c>
      <c r="D107" s="13" t="s">
        <v>4</v>
      </c>
      <c r="E107" s="13" t="s">
        <v>137</v>
      </c>
      <c r="F107" s="14" t="s">
        <v>111</v>
      </c>
      <c r="G107" s="15">
        <f>1500-187.7+391+210</f>
        <v>1913.3</v>
      </c>
    </row>
    <row r="108" spans="1:7" s="96" customFormat="1" ht="62.4" x14ac:dyDescent="0.25">
      <c r="A108" s="31" t="s">
        <v>83</v>
      </c>
      <c r="B108" s="13" t="s">
        <v>0</v>
      </c>
      <c r="C108" s="13" t="s">
        <v>58</v>
      </c>
      <c r="D108" s="13" t="s">
        <v>10</v>
      </c>
      <c r="E108" s="13"/>
      <c r="F108" s="14"/>
      <c r="G108" s="15">
        <f>G111+G118+G115+G109</f>
        <v>10935.9</v>
      </c>
    </row>
    <row r="109" spans="1:7" s="96" customFormat="1" x14ac:dyDescent="0.25">
      <c r="A109" s="31" t="s">
        <v>343</v>
      </c>
      <c r="B109" s="13" t="s">
        <v>0</v>
      </c>
      <c r="C109" s="13" t="s">
        <v>58</v>
      </c>
      <c r="D109" s="13" t="s">
        <v>10</v>
      </c>
      <c r="E109" s="13" t="s">
        <v>342</v>
      </c>
      <c r="F109" s="14"/>
      <c r="G109" s="15">
        <f>G110</f>
        <v>2578.4</v>
      </c>
    </row>
    <row r="110" spans="1:7" s="96" customFormat="1" ht="31.2" x14ac:dyDescent="0.25">
      <c r="A110" s="30" t="s">
        <v>116</v>
      </c>
      <c r="B110" s="13" t="s">
        <v>0</v>
      </c>
      <c r="C110" s="13" t="s">
        <v>58</v>
      </c>
      <c r="D110" s="13" t="s">
        <v>10</v>
      </c>
      <c r="E110" s="13" t="s">
        <v>342</v>
      </c>
      <c r="F110" s="14" t="s">
        <v>111</v>
      </c>
      <c r="G110" s="15">
        <f>2244.8+333.6</f>
        <v>2578.4</v>
      </c>
    </row>
    <row r="111" spans="1:7" s="96" customFormat="1" ht="31.2" x14ac:dyDescent="0.25">
      <c r="A111" s="31" t="s">
        <v>143</v>
      </c>
      <c r="B111" s="13" t="s">
        <v>0</v>
      </c>
      <c r="C111" s="13" t="s">
        <v>58</v>
      </c>
      <c r="D111" s="13" t="s">
        <v>10</v>
      </c>
      <c r="E111" s="13" t="s">
        <v>91</v>
      </c>
      <c r="F111" s="14"/>
      <c r="G111" s="15">
        <f>SUM(G112:G114)</f>
        <v>6468</v>
      </c>
    </row>
    <row r="112" spans="1:7" s="96" customFormat="1" ht="50.25" customHeight="1" x14ac:dyDescent="0.25">
      <c r="A112" s="29" t="s">
        <v>114</v>
      </c>
      <c r="B112" s="13" t="s">
        <v>0</v>
      </c>
      <c r="C112" s="13" t="s">
        <v>58</v>
      </c>
      <c r="D112" s="13" t="s">
        <v>10</v>
      </c>
      <c r="E112" s="13" t="s">
        <v>91</v>
      </c>
      <c r="F112" s="14" t="s">
        <v>19</v>
      </c>
      <c r="G112" s="15">
        <v>0</v>
      </c>
    </row>
    <row r="113" spans="1:7" s="96" customFormat="1" ht="34.950000000000003" customHeight="1" x14ac:dyDescent="0.25">
      <c r="A113" s="29" t="s">
        <v>107</v>
      </c>
      <c r="B113" s="13" t="s">
        <v>0</v>
      </c>
      <c r="C113" s="13" t="s">
        <v>58</v>
      </c>
      <c r="D113" s="13" t="s">
        <v>10</v>
      </c>
      <c r="E113" s="13" t="s">
        <v>91</v>
      </c>
      <c r="F113" s="14" t="s">
        <v>20</v>
      </c>
      <c r="G113" s="15">
        <v>0</v>
      </c>
    </row>
    <row r="114" spans="1:7" s="96" customFormat="1" ht="30.6" customHeight="1" x14ac:dyDescent="0.25">
      <c r="A114" s="30" t="s">
        <v>116</v>
      </c>
      <c r="B114" s="13" t="s">
        <v>0</v>
      </c>
      <c r="C114" s="13" t="s">
        <v>58</v>
      </c>
      <c r="D114" s="13" t="s">
        <v>10</v>
      </c>
      <c r="E114" s="13" t="s">
        <v>91</v>
      </c>
      <c r="F114" s="14" t="s">
        <v>111</v>
      </c>
      <c r="G114" s="15">
        <f>2904+2724+180+305.9+354.1</f>
        <v>6468</v>
      </c>
    </row>
    <row r="115" spans="1:7" s="96" customFormat="1" ht="46.8" x14ac:dyDescent="0.25">
      <c r="A115" s="32" t="s">
        <v>145</v>
      </c>
      <c r="B115" s="13" t="s">
        <v>0</v>
      </c>
      <c r="C115" s="13" t="s">
        <v>58</v>
      </c>
      <c r="D115" s="13" t="s">
        <v>10</v>
      </c>
      <c r="E115" s="13" t="s">
        <v>144</v>
      </c>
      <c r="F115" s="14"/>
      <c r="G115" s="15">
        <f>G116+G117</f>
        <v>1.4155343563970746E-15</v>
      </c>
    </row>
    <row r="116" spans="1:7" s="96" customFormat="1" ht="49.5" customHeight="1" x14ac:dyDescent="0.25">
      <c r="A116" s="29" t="s">
        <v>114</v>
      </c>
      <c r="B116" s="13" t="s">
        <v>0</v>
      </c>
      <c r="C116" s="13" t="s">
        <v>58</v>
      </c>
      <c r="D116" s="13" t="s">
        <v>10</v>
      </c>
      <c r="E116" s="13" t="s">
        <v>144</v>
      </c>
      <c r="F116" s="14" t="s">
        <v>19</v>
      </c>
      <c r="G116" s="15">
        <f>20.1-20-0.1</f>
        <v>1.4155343563970746E-15</v>
      </c>
    </row>
    <row r="117" spans="1:7" ht="33" customHeight="1" x14ac:dyDescent="0.25">
      <c r="A117" s="30" t="s">
        <v>116</v>
      </c>
      <c r="B117" s="13" t="s">
        <v>0</v>
      </c>
      <c r="C117" s="13" t="s">
        <v>58</v>
      </c>
      <c r="D117" s="13" t="s">
        <v>10</v>
      </c>
      <c r="E117" s="13" t="s">
        <v>144</v>
      </c>
      <c r="F117" s="14" t="s">
        <v>111</v>
      </c>
      <c r="G117" s="15"/>
    </row>
    <row r="118" spans="1:7" ht="93.6" x14ac:dyDescent="0.25">
      <c r="A118" s="33" t="s">
        <v>184</v>
      </c>
      <c r="B118" s="13" t="s">
        <v>0</v>
      </c>
      <c r="C118" s="13" t="s">
        <v>58</v>
      </c>
      <c r="D118" s="13" t="s">
        <v>10</v>
      </c>
      <c r="E118" s="13" t="s">
        <v>84</v>
      </c>
      <c r="F118" s="14"/>
      <c r="G118" s="15">
        <f>SUM(G119:G120)</f>
        <v>1889.5</v>
      </c>
    </row>
    <row r="119" spans="1:7" ht="49.5" customHeight="1" x14ac:dyDescent="0.25">
      <c r="A119" s="29" t="s">
        <v>114</v>
      </c>
      <c r="B119" s="13" t="s">
        <v>0</v>
      </c>
      <c r="C119" s="13" t="s">
        <v>58</v>
      </c>
      <c r="D119" s="13" t="s">
        <v>10</v>
      </c>
      <c r="E119" s="13" t="s">
        <v>84</v>
      </c>
      <c r="F119" s="14" t="s">
        <v>19</v>
      </c>
      <c r="G119" s="15">
        <v>27.7</v>
      </c>
    </row>
    <row r="120" spans="1:7" ht="35.25" customHeight="1" x14ac:dyDescent="0.25">
      <c r="A120" s="30" t="s">
        <v>116</v>
      </c>
      <c r="B120" s="13" t="s">
        <v>0</v>
      </c>
      <c r="C120" s="13" t="s">
        <v>58</v>
      </c>
      <c r="D120" s="13" t="s">
        <v>10</v>
      </c>
      <c r="E120" s="13" t="s">
        <v>84</v>
      </c>
      <c r="F120" s="14" t="s">
        <v>111</v>
      </c>
      <c r="G120" s="15">
        <f>546.3+1284.6+30.9</f>
        <v>1861.8</v>
      </c>
    </row>
    <row r="121" spans="1:7" ht="78" x14ac:dyDescent="0.25">
      <c r="A121" s="29" t="s">
        <v>570</v>
      </c>
      <c r="B121" s="13" t="s">
        <v>0</v>
      </c>
      <c r="C121" s="13">
        <v>1</v>
      </c>
      <c r="D121" s="13" t="s">
        <v>5</v>
      </c>
      <c r="E121" s="13"/>
      <c r="F121" s="29"/>
      <c r="G121" s="15">
        <f>G122</f>
        <v>89221.099999999991</v>
      </c>
    </row>
    <row r="122" spans="1:7" ht="31.95" customHeight="1" x14ac:dyDescent="0.25">
      <c r="A122" s="29" t="s">
        <v>247</v>
      </c>
      <c r="B122" s="13" t="s">
        <v>0</v>
      </c>
      <c r="C122" s="13" t="s">
        <v>58</v>
      </c>
      <c r="D122" s="13" t="s">
        <v>5</v>
      </c>
      <c r="E122" s="13" t="s">
        <v>246</v>
      </c>
      <c r="F122" s="14"/>
      <c r="G122" s="15">
        <f>G123+G124</f>
        <v>89221.099999999991</v>
      </c>
    </row>
    <row r="123" spans="1:7" ht="31.2" x14ac:dyDescent="0.25">
      <c r="A123" s="30" t="s">
        <v>116</v>
      </c>
      <c r="B123" s="13" t="s">
        <v>0</v>
      </c>
      <c r="C123" s="13" t="s">
        <v>58</v>
      </c>
      <c r="D123" s="13" t="s">
        <v>5</v>
      </c>
      <c r="E123" s="13" t="s">
        <v>246</v>
      </c>
      <c r="F123" s="14" t="s">
        <v>111</v>
      </c>
      <c r="G123" s="15">
        <v>89183.9</v>
      </c>
    </row>
    <row r="124" spans="1:7" x14ac:dyDescent="0.25">
      <c r="A124" s="29" t="s">
        <v>21</v>
      </c>
      <c r="B124" s="13" t="s">
        <v>0</v>
      </c>
      <c r="C124" s="13" t="s">
        <v>58</v>
      </c>
      <c r="D124" s="13" t="s">
        <v>5</v>
      </c>
      <c r="E124" s="13" t="s">
        <v>246</v>
      </c>
      <c r="F124" s="14" t="s">
        <v>22</v>
      </c>
      <c r="G124" s="15">
        <v>37.200000000000003</v>
      </c>
    </row>
    <row r="125" spans="1:7" s="96" customFormat="1" ht="46.8" x14ac:dyDescent="0.25">
      <c r="A125" s="29" t="s">
        <v>427</v>
      </c>
      <c r="B125" s="13" t="s">
        <v>222</v>
      </c>
      <c r="C125" s="13" t="s">
        <v>58</v>
      </c>
      <c r="D125" s="13" t="s">
        <v>7</v>
      </c>
      <c r="E125" s="13"/>
      <c r="F125" s="14"/>
      <c r="G125" s="15">
        <f>G126</f>
        <v>518.6</v>
      </c>
    </row>
    <row r="126" spans="1:7" s="96" customFormat="1" ht="46.8" x14ac:dyDescent="0.25">
      <c r="A126" s="29" t="s">
        <v>427</v>
      </c>
      <c r="B126" s="13" t="s">
        <v>0</v>
      </c>
      <c r="C126" s="13" t="s">
        <v>58</v>
      </c>
      <c r="D126" s="13" t="s">
        <v>7</v>
      </c>
      <c r="E126" s="13" t="s">
        <v>223</v>
      </c>
      <c r="F126" s="14"/>
      <c r="G126" s="15">
        <f>G127</f>
        <v>518.6</v>
      </c>
    </row>
    <row r="127" spans="1:7" s="96" customFormat="1" ht="19.95" customHeight="1" x14ac:dyDescent="0.25">
      <c r="A127" s="29" t="s">
        <v>9</v>
      </c>
      <c r="B127" s="13" t="s">
        <v>0</v>
      </c>
      <c r="C127" s="13" t="s">
        <v>58</v>
      </c>
      <c r="D127" s="13" t="s">
        <v>7</v>
      </c>
      <c r="E127" s="13" t="s">
        <v>223</v>
      </c>
      <c r="F127" s="14" t="s">
        <v>25</v>
      </c>
      <c r="G127" s="15">
        <v>518.6</v>
      </c>
    </row>
    <row r="128" spans="1:7" s="96" customFormat="1" ht="46.8" x14ac:dyDescent="0.25">
      <c r="A128" s="29" t="s">
        <v>192</v>
      </c>
      <c r="B128" s="13" t="s">
        <v>0</v>
      </c>
      <c r="C128" s="13" t="s">
        <v>58</v>
      </c>
      <c r="D128" s="13" t="s">
        <v>480</v>
      </c>
      <c r="E128" s="13"/>
      <c r="F128" s="14"/>
      <c r="G128" s="15">
        <f>G129</f>
        <v>7018.5</v>
      </c>
    </row>
    <row r="129" spans="1:8" s="96" customFormat="1" ht="19.95" customHeight="1" x14ac:dyDescent="0.25">
      <c r="A129" s="29" t="s">
        <v>337</v>
      </c>
      <c r="B129" s="13" t="s">
        <v>0</v>
      </c>
      <c r="C129" s="13" t="s">
        <v>58</v>
      </c>
      <c r="D129" s="13" t="s">
        <v>480</v>
      </c>
      <c r="E129" s="13" t="s">
        <v>336</v>
      </c>
      <c r="F129" s="14"/>
      <c r="G129" s="15">
        <f>SUM(G130:G132)</f>
        <v>7018.5</v>
      </c>
    </row>
    <row r="130" spans="1:8" s="96" customFormat="1" ht="46.8" x14ac:dyDescent="0.25">
      <c r="A130" s="29" t="s">
        <v>114</v>
      </c>
      <c r="B130" s="13" t="s">
        <v>0</v>
      </c>
      <c r="C130" s="13" t="s">
        <v>58</v>
      </c>
      <c r="D130" s="13" t="s">
        <v>480</v>
      </c>
      <c r="E130" s="13" t="s">
        <v>336</v>
      </c>
      <c r="F130" s="14" t="s">
        <v>19</v>
      </c>
      <c r="G130" s="15"/>
    </row>
    <row r="131" spans="1:8" s="96" customFormat="1" ht="33" customHeight="1" x14ac:dyDescent="0.25">
      <c r="A131" s="29" t="s">
        <v>115</v>
      </c>
      <c r="B131" s="13" t="s">
        <v>0</v>
      </c>
      <c r="C131" s="13" t="s">
        <v>58</v>
      </c>
      <c r="D131" s="13" t="s">
        <v>480</v>
      </c>
      <c r="E131" s="13" t="s">
        <v>336</v>
      </c>
      <c r="F131" s="14" t="s">
        <v>20</v>
      </c>
      <c r="G131" s="15">
        <v>127</v>
      </c>
    </row>
    <row r="132" spans="1:8" s="96" customFormat="1" ht="36" customHeight="1" x14ac:dyDescent="0.25">
      <c r="A132" s="30" t="s">
        <v>116</v>
      </c>
      <c r="B132" s="13" t="s">
        <v>0</v>
      </c>
      <c r="C132" s="13" t="s">
        <v>58</v>
      </c>
      <c r="D132" s="13" t="s">
        <v>480</v>
      </c>
      <c r="E132" s="13" t="s">
        <v>336</v>
      </c>
      <c r="F132" s="14" t="s">
        <v>111</v>
      </c>
      <c r="G132" s="15">
        <v>6891.5</v>
      </c>
    </row>
    <row r="133" spans="1:8" s="96" customFormat="1" ht="31.2" x14ac:dyDescent="0.25">
      <c r="A133" s="29" t="s">
        <v>481</v>
      </c>
      <c r="B133" s="13" t="s">
        <v>0</v>
      </c>
      <c r="C133" s="13" t="s">
        <v>58</v>
      </c>
      <c r="D133" s="13" t="s">
        <v>8</v>
      </c>
      <c r="E133" s="13"/>
      <c r="F133" s="14"/>
      <c r="G133" s="15">
        <f>SUM(G134+G137)</f>
        <v>8562.4000000000015</v>
      </c>
    </row>
    <row r="134" spans="1:8" s="96" customFormat="1" ht="31.2" x14ac:dyDescent="0.25">
      <c r="A134" s="29" t="s">
        <v>644</v>
      </c>
      <c r="B134" s="13" t="s">
        <v>0</v>
      </c>
      <c r="C134" s="13" t="s">
        <v>58</v>
      </c>
      <c r="D134" s="13" t="s">
        <v>8</v>
      </c>
      <c r="E134" s="13" t="s">
        <v>528</v>
      </c>
      <c r="F134" s="14"/>
      <c r="G134" s="15">
        <f>G136+G135</f>
        <v>4400.8</v>
      </c>
    </row>
    <row r="135" spans="1:8" s="96" customFormat="1" ht="31.2" x14ac:dyDescent="0.25">
      <c r="A135" s="29" t="s">
        <v>115</v>
      </c>
      <c r="B135" s="13" t="s">
        <v>0</v>
      </c>
      <c r="C135" s="13" t="s">
        <v>58</v>
      </c>
      <c r="D135" s="13" t="s">
        <v>8</v>
      </c>
      <c r="E135" s="13" t="s">
        <v>528</v>
      </c>
      <c r="F135" s="14" t="s">
        <v>20</v>
      </c>
      <c r="G135" s="15">
        <f>127</f>
        <v>127</v>
      </c>
      <c r="H135" s="96" t="s">
        <v>639</v>
      </c>
    </row>
    <row r="136" spans="1:8" s="96" customFormat="1" ht="31.2" x14ac:dyDescent="0.25">
      <c r="A136" s="30" t="s">
        <v>116</v>
      </c>
      <c r="B136" s="13" t="s">
        <v>0</v>
      </c>
      <c r="C136" s="13" t="s">
        <v>58</v>
      </c>
      <c r="D136" s="13" t="s">
        <v>8</v>
      </c>
      <c r="E136" s="13" t="s">
        <v>528</v>
      </c>
      <c r="F136" s="14" t="s">
        <v>111</v>
      </c>
      <c r="G136" s="15">
        <f>2000+2273.8</f>
        <v>4273.8</v>
      </c>
    </row>
    <row r="137" spans="1:8" s="96" customFormat="1" ht="62.4" x14ac:dyDescent="0.25">
      <c r="A137" s="29" t="s">
        <v>203</v>
      </c>
      <c r="B137" s="13" t="s">
        <v>0</v>
      </c>
      <c r="C137" s="13" t="s">
        <v>58</v>
      </c>
      <c r="D137" s="13" t="s">
        <v>8</v>
      </c>
      <c r="E137" s="13" t="s">
        <v>204</v>
      </c>
      <c r="F137" s="13"/>
      <c r="G137" s="15">
        <f>SUM(G138:G139)</f>
        <v>4161.6000000000004</v>
      </c>
    </row>
    <row r="138" spans="1:8" s="96" customFormat="1" ht="31.2" customHeight="1" x14ac:dyDescent="0.25">
      <c r="A138" s="29" t="s">
        <v>114</v>
      </c>
      <c r="B138" s="13" t="s">
        <v>0</v>
      </c>
      <c r="C138" s="13" t="s">
        <v>58</v>
      </c>
      <c r="D138" s="13" t="s">
        <v>8</v>
      </c>
      <c r="E138" s="13" t="s">
        <v>204</v>
      </c>
      <c r="F138" s="13" t="s">
        <v>19</v>
      </c>
      <c r="G138" s="15">
        <v>61.5</v>
      </c>
    </row>
    <row r="139" spans="1:8" s="96" customFormat="1" ht="33" customHeight="1" x14ac:dyDescent="0.25">
      <c r="A139" s="30" t="s">
        <v>116</v>
      </c>
      <c r="B139" s="13" t="s">
        <v>0</v>
      </c>
      <c r="C139" s="13" t="s">
        <v>58</v>
      </c>
      <c r="D139" s="13" t="s">
        <v>8</v>
      </c>
      <c r="E139" s="13" t="s">
        <v>204</v>
      </c>
      <c r="F139" s="13" t="s">
        <v>111</v>
      </c>
      <c r="G139" s="15">
        <v>4100.1000000000004</v>
      </c>
    </row>
    <row r="140" spans="1:8" s="96" customFormat="1" ht="33" customHeight="1" x14ac:dyDescent="0.25">
      <c r="A140" s="29" t="s">
        <v>531</v>
      </c>
      <c r="B140" s="13" t="s">
        <v>0</v>
      </c>
      <c r="C140" s="13" t="s">
        <v>58</v>
      </c>
      <c r="D140" s="13" t="s">
        <v>282</v>
      </c>
      <c r="E140" s="13"/>
      <c r="F140" s="14"/>
      <c r="G140" s="15">
        <f>SUM(G141+G143)</f>
        <v>589.6</v>
      </c>
    </row>
    <row r="141" spans="1:8" s="96" customFormat="1" ht="19.5" customHeight="1" x14ac:dyDescent="0.25">
      <c r="A141" s="29" t="s">
        <v>532</v>
      </c>
      <c r="B141" s="13" t="s">
        <v>0</v>
      </c>
      <c r="C141" s="13" t="s">
        <v>58</v>
      </c>
      <c r="D141" s="13" t="s">
        <v>282</v>
      </c>
      <c r="E141" s="13" t="s">
        <v>530</v>
      </c>
      <c r="F141" s="14"/>
      <c r="G141" s="15">
        <f>SUM(G142)</f>
        <v>589.6</v>
      </c>
    </row>
    <row r="142" spans="1:8" s="96" customFormat="1" ht="31.2" customHeight="1" x14ac:dyDescent="0.25">
      <c r="A142" s="30" t="s">
        <v>116</v>
      </c>
      <c r="B142" s="13" t="s">
        <v>0</v>
      </c>
      <c r="C142" s="13" t="s">
        <v>58</v>
      </c>
      <c r="D142" s="13" t="s">
        <v>282</v>
      </c>
      <c r="E142" s="13" t="s">
        <v>530</v>
      </c>
      <c r="F142" s="14" t="s">
        <v>111</v>
      </c>
      <c r="G142" s="15">
        <v>589.6</v>
      </c>
    </row>
    <row r="143" spans="1:8" s="96" customFormat="1" ht="31.5" customHeight="1" x14ac:dyDescent="0.25">
      <c r="A143" s="29" t="s">
        <v>441</v>
      </c>
      <c r="B143" s="13" t="s">
        <v>0</v>
      </c>
      <c r="C143" s="13" t="s">
        <v>58</v>
      </c>
      <c r="D143" s="13" t="s">
        <v>286</v>
      </c>
      <c r="E143" s="13"/>
      <c r="F143" s="14"/>
      <c r="G143" s="15">
        <f>SUM(G146+G144)</f>
        <v>0</v>
      </c>
    </row>
    <row r="144" spans="1:8" s="96" customFormat="1" ht="48" customHeight="1" x14ac:dyDescent="0.25">
      <c r="A144" s="29" t="s">
        <v>288</v>
      </c>
      <c r="B144" s="13" t="s">
        <v>0</v>
      </c>
      <c r="C144" s="13" t="s">
        <v>58</v>
      </c>
      <c r="D144" s="13" t="s">
        <v>286</v>
      </c>
      <c r="E144" s="13" t="s">
        <v>289</v>
      </c>
      <c r="F144" s="14"/>
      <c r="G144" s="15">
        <f>SUM(G145)</f>
        <v>0</v>
      </c>
    </row>
    <row r="145" spans="1:7" s="96" customFormat="1" ht="34.950000000000003" customHeight="1" x14ac:dyDescent="0.25">
      <c r="A145" s="30" t="s">
        <v>116</v>
      </c>
      <c r="B145" s="13" t="s">
        <v>0</v>
      </c>
      <c r="C145" s="13" t="s">
        <v>58</v>
      </c>
      <c r="D145" s="13" t="s">
        <v>286</v>
      </c>
      <c r="E145" s="13" t="s">
        <v>289</v>
      </c>
      <c r="F145" s="14" t="s">
        <v>111</v>
      </c>
      <c r="G145" s="15"/>
    </row>
    <row r="146" spans="1:7" s="96" customFormat="1" ht="48" customHeight="1" x14ac:dyDescent="0.25">
      <c r="A146" s="29" t="s">
        <v>285</v>
      </c>
      <c r="B146" s="13" t="s">
        <v>0</v>
      </c>
      <c r="C146" s="13" t="s">
        <v>58</v>
      </c>
      <c r="D146" s="13" t="s">
        <v>286</v>
      </c>
      <c r="E146" s="13" t="s">
        <v>287</v>
      </c>
      <c r="F146" s="14"/>
      <c r="G146" s="15">
        <f>SUM(G147)</f>
        <v>0</v>
      </c>
    </row>
    <row r="147" spans="1:7" s="96" customFormat="1" ht="36" customHeight="1" x14ac:dyDescent="0.25">
      <c r="A147" s="30" t="s">
        <v>116</v>
      </c>
      <c r="B147" s="13" t="s">
        <v>0</v>
      </c>
      <c r="C147" s="13" t="s">
        <v>58</v>
      </c>
      <c r="D147" s="13" t="s">
        <v>286</v>
      </c>
      <c r="E147" s="13" t="s">
        <v>287</v>
      </c>
      <c r="F147" s="14" t="s">
        <v>111</v>
      </c>
      <c r="G147" s="15"/>
    </row>
    <row r="148" spans="1:7" s="96" customFormat="1" ht="20.399999999999999" customHeight="1" x14ac:dyDescent="0.25">
      <c r="A148" s="29" t="s">
        <v>578</v>
      </c>
      <c r="B148" s="13" t="s">
        <v>0</v>
      </c>
      <c r="C148" s="13" t="s">
        <v>58</v>
      </c>
      <c r="D148" s="13" t="s">
        <v>577</v>
      </c>
      <c r="E148" s="13"/>
      <c r="F148" s="14"/>
      <c r="G148" s="15">
        <f>G151+G153+G149</f>
        <v>109037.8</v>
      </c>
    </row>
    <row r="149" spans="1:7" s="96" customFormat="1" ht="107.4" customHeight="1" x14ac:dyDescent="0.25">
      <c r="A149" s="29" t="s">
        <v>587</v>
      </c>
      <c r="B149" s="13" t="s">
        <v>0</v>
      </c>
      <c r="C149" s="13" t="s">
        <v>58</v>
      </c>
      <c r="D149" s="13" t="s">
        <v>577</v>
      </c>
      <c r="E149" s="13" t="s">
        <v>352</v>
      </c>
      <c r="F149" s="14"/>
      <c r="G149" s="15">
        <f>G150</f>
        <v>1953</v>
      </c>
    </row>
    <row r="150" spans="1:7" s="96" customFormat="1" ht="32.4" customHeight="1" x14ac:dyDescent="0.25">
      <c r="A150" s="30" t="s">
        <v>116</v>
      </c>
      <c r="B150" s="13" t="s">
        <v>0</v>
      </c>
      <c r="C150" s="13" t="s">
        <v>58</v>
      </c>
      <c r="D150" s="13" t="s">
        <v>577</v>
      </c>
      <c r="E150" s="13" t="s">
        <v>352</v>
      </c>
      <c r="F150" s="14" t="s">
        <v>111</v>
      </c>
      <c r="G150" s="15">
        <v>1953</v>
      </c>
    </row>
    <row r="151" spans="1:7" s="96" customFormat="1" ht="46.2" customHeight="1" x14ac:dyDescent="0.25">
      <c r="A151" s="29" t="s">
        <v>288</v>
      </c>
      <c r="B151" s="13" t="s">
        <v>0</v>
      </c>
      <c r="C151" s="13" t="s">
        <v>58</v>
      </c>
      <c r="D151" s="13" t="s">
        <v>577</v>
      </c>
      <c r="E151" s="13" t="s">
        <v>289</v>
      </c>
      <c r="F151" s="14"/>
      <c r="G151" s="15">
        <f>G152</f>
        <v>5622.5</v>
      </c>
    </row>
    <row r="152" spans="1:7" s="96" customFormat="1" ht="36" customHeight="1" x14ac:dyDescent="0.25">
      <c r="A152" s="30" t="s">
        <v>116</v>
      </c>
      <c r="B152" s="13" t="s">
        <v>0</v>
      </c>
      <c r="C152" s="13" t="s">
        <v>58</v>
      </c>
      <c r="D152" s="13" t="s">
        <v>577</v>
      </c>
      <c r="E152" s="13" t="s">
        <v>289</v>
      </c>
      <c r="F152" s="14" t="s">
        <v>111</v>
      </c>
      <c r="G152" s="15">
        <v>5622.5</v>
      </c>
    </row>
    <row r="153" spans="1:7" s="96" customFormat="1" ht="103.95" customHeight="1" x14ac:dyDescent="0.25">
      <c r="A153" s="29" t="s">
        <v>583</v>
      </c>
      <c r="B153" s="13" t="s">
        <v>0</v>
      </c>
      <c r="C153" s="13" t="s">
        <v>58</v>
      </c>
      <c r="D153" s="13" t="s">
        <v>577</v>
      </c>
      <c r="E153" s="13" t="s">
        <v>584</v>
      </c>
      <c r="F153" s="14"/>
      <c r="G153" s="15">
        <f>G154</f>
        <v>101462.3</v>
      </c>
    </row>
    <row r="154" spans="1:7" s="96" customFormat="1" ht="36" customHeight="1" x14ac:dyDescent="0.25">
      <c r="A154" s="30" t="s">
        <v>116</v>
      </c>
      <c r="B154" s="13" t="s">
        <v>0</v>
      </c>
      <c r="C154" s="13" t="s">
        <v>58</v>
      </c>
      <c r="D154" s="13" t="s">
        <v>577</v>
      </c>
      <c r="E154" s="13" t="s">
        <v>584</v>
      </c>
      <c r="F154" s="14" t="s">
        <v>111</v>
      </c>
      <c r="G154" s="15">
        <v>101462.3</v>
      </c>
    </row>
    <row r="155" spans="1:7" s="96" customFormat="1" x14ac:dyDescent="0.25">
      <c r="A155" s="31" t="s">
        <v>452</v>
      </c>
      <c r="B155" s="13" t="s">
        <v>1</v>
      </c>
      <c r="C155" s="13"/>
      <c r="D155" s="13"/>
      <c r="E155" s="13"/>
      <c r="F155" s="14"/>
      <c r="G155" s="15">
        <f>SUM(G156)</f>
        <v>12364380.299999999</v>
      </c>
    </row>
    <row r="156" spans="1:7" s="96" customFormat="1" ht="63" customHeight="1" x14ac:dyDescent="0.25">
      <c r="A156" s="31" t="s">
        <v>557</v>
      </c>
      <c r="B156" s="13" t="s">
        <v>1</v>
      </c>
      <c r="C156" s="13" t="s">
        <v>58</v>
      </c>
      <c r="D156" s="13"/>
      <c r="E156" s="13"/>
      <c r="F156" s="14"/>
      <c r="G156" s="15">
        <f>SUM(G157+G194)</f>
        <v>12364380.299999999</v>
      </c>
    </row>
    <row r="157" spans="1:7" s="96" customFormat="1" ht="31.2" x14ac:dyDescent="0.25">
      <c r="A157" s="31" t="s">
        <v>545</v>
      </c>
      <c r="B157" s="13" t="s">
        <v>1</v>
      </c>
      <c r="C157" s="13" t="s">
        <v>58</v>
      </c>
      <c r="D157" s="13" t="s">
        <v>0</v>
      </c>
      <c r="E157" s="13"/>
      <c r="F157" s="14"/>
      <c r="G157" s="15">
        <f>SUM(G175+G158+G164+G188+G169+G167+G173+G184+G162+G171+G186+G182+G190+G192+G178+G180)</f>
        <v>12355964.399999999</v>
      </c>
    </row>
    <row r="158" spans="1:7" s="96" customFormat="1" ht="46.8" x14ac:dyDescent="0.25">
      <c r="A158" s="31" t="s">
        <v>106</v>
      </c>
      <c r="B158" s="13" t="s">
        <v>1</v>
      </c>
      <c r="C158" s="13" t="s">
        <v>58</v>
      </c>
      <c r="D158" s="13" t="s">
        <v>0</v>
      </c>
      <c r="E158" s="13" t="s">
        <v>51</v>
      </c>
      <c r="F158" s="14"/>
      <c r="G158" s="15">
        <f>SUM(G159:G161)</f>
        <v>25937.8</v>
      </c>
    </row>
    <row r="159" spans="1:7" s="96" customFormat="1" ht="46.8" x14ac:dyDescent="0.25">
      <c r="A159" s="29" t="s">
        <v>114</v>
      </c>
      <c r="B159" s="13" t="s">
        <v>1</v>
      </c>
      <c r="C159" s="13" t="s">
        <v>58</v>
      </c>
      <c r="D159" s="13" t="s">
        <v>0</v>
      </c>
      <c r="E159" s="13" t="s">
        <v>51</v>
      </c>
      <c r="F159" s="14" t="s">
        <v>19</v>
      </c>
      <c r="G159" s="15">
        <f>17688.9+3821-3821+3456.2+3821.1</f>
        <v>24966.2</v>
      </c>
    </row>
    <row r="160" spans="1:7" s="96" customFormat="1" ht="31.2" x14ac:dyDescent="0.25">
      <c r="A160" s="29" t="s">
        <v>115</v>
      </c>
      <c r="B160" s="13" t="s">
        <v>1</v>
      </c>
      <c r="C160" s="13" t="s">
        <v>58</v>
      </c>
      <c r="D160" s="13" t="s">
        <v>0</v>
      </c>
      <c r="E160" s="13" t="s">
        <v>51</v>
      </c>
      <c r="F160" s="14" t="s">
        <v>20</v>
      </c>
      <c r="G160" s="15">
        <f>4609.9+0.7-3821+3821-3821.1+0.1</f>
        <v>789.59999999999957</v>
      </c>
    </row>
    <row r="161" spans="1:7" s="96" customFormat="1" x14ac:dyDescent="0.25">
      <c r="A161" s="29" t="s">
        <v>21</v>
      </c>
      <c r="B161" s="13" t="s">
        <v>1</v>
      </c>
      <c r="C161" s="13" t="s">
        <v>58</v>
      </c>
      <c r="D161" s="13" t="s">
        <v>0</v>
      </c>
      <c r="E161" s="13" t="s">
        <v>51</v>
      </c>
      <c r="F161" s="14" t="s">
        <v>22</v>
      </c>
      <c r="G161" s="15">
        <v>182</v>
      </c>
    </row>
    <row r="162" spans="1:7" s="96" customFormat="1" x14ac:dyDescent="0.25">
      <c r="A162" s="29" t="s">
        <v>592</v>
      </c>
      <c r="B162" s="13" t="s">
        <v>1</v>
      </c>
      <c r="C162" s="13" t="s">
        <v>58</v>
      </c>
      <c r="D162" s="13" t="s">
        <v>0</v>
      </c>
      <c r="E162" s="13" t="s">
        <v>591</v>
      </c>
      <c r="F162" s="14"/>
      <c r="G162" s="15">
        <f>G163</f>
        <v>278.70000000000005</v>
      </c>
    </row>
    <row r="163" spans="1:7" s="96" customFormat="1" ht="31.2" x14ac:dyDescent="0.25">
      <c r="A163" s="29" t="s">
        <v>115</v>
      </c>
      <c r="B163" s="13" t="s">
        <v>1</v>
      </c>
      <c r="C163" s="13" t="s">
        <v>58</v>
      </c>
      <c r="D163" s="13" t="s">
        <v>0</v>
      </c>
      <c r="E163" s="13" t="s">
        <v>591</v>
      </c>
      <c r="F163" s="14" t="s">
        <v>20</v>
      </c>
      <c r="G163" s="15">
        <f>12.8+179.4+86.5</f>
        <v>278.70000000000005</v>
      </c>
    </row>
    <row r="164" spans="1:7" s="96" customFormat="1" ht="124.8" x14ac:dyDescent="0.25">
      <c r="A164" s="29" t="s">
        <v>466</v>
      </c>
      <c r="B164" s="13" t="s">
        <v>1</v>
      </c>
      <c r="C164" s="13" t="s">
        <v>58</v>
      </c>
      <c r="D164" s="13" t="s">
        <v>0</v>
      </c>
      <c r="E164" s="13" t="s">
        <v>333</v>
      </c>
      <c r="F164" s="14"/>
      <c r="G164" s="15">
        <f>SUM(G166)</f>
        <v>43788.800000000003</v>
      </c>
    </row>
    <row r="165" spans="1:7" s="96" customFormat="1" ht="31.2" x14ac:dyDescent="0.25">
      <c r="A165" s="29" t="s">
        <v>118</v>
      </c>
      <c r="B165" s="13" t="s">
        <v>1</v>
      </c>
      <c r="C165" s="13" t="s">
        <v>58</v>
      </c>
      <c r="D165" s="13" t="s">
        <v>0</v>
      </c>
      <c r="E165" s="13" t="s">
        <v>333</v>
      </c>
      <c r="F165" s="14" t="s">
        <v>119</v>
      </c>
      <c r="G165" s="15">
        <f>28250+13000-41250</f>
        <v>0</v>
      </c>
    </row>
    <row r="166" spans="1:7" s="96" customFormat="1" ht="31.2" x14ac:dyDescent="0.25">
      <c r="A166" s="29" t="s">
        <v>115</v>
      </c>
      <c r="B166" s="13" t="s">
        <v>1</v>
      </c>
      <c r="C166" s="13" t="s">
        <v>58</v>
      </c>
      <c r="D166" s="13" t="s">
        <v>0</v>
      </c>
      <c r="E166" s="13" t="s">
        <v>333</v>
      </c>
      <c r="F166" s="14" t="s">
        <v>20</v>
      </c>
      <c r="G166" s="15">
        <f>41250+2538.8</f>
        <v>43788.800000000003</v>
      </c>
    </row>
    <row r="167" spans="1:7" s="96" customFormat="1" x14ac:dyDescent="0.25">
      <c r="A167" s="29" t="s">
        <v>474</v>
      </c>
      <c r="B167" s="13" t="s">
        <v>1</v>
      </c>
      <c r="C167" s="13" t="s">
        <v>58</v>
      </c>
      <c r="D167" s="13" t="s">
        <v>0</v>
      </c>
      <c r="E167" s="13" t="s">
        <v>629</v>
      </c>
      <c r="F167" s="14"/>
      <c r="G167" s="15">
        <f>SUM(G168)</f>
        <v>11109722.800000001</v>
      </c>
    </row>
    <row r="168" spans="1:7" s="96" customFormat="1" ht="31.2" x14ac:dyDescent="0.25">
      <c r="A168" s="29" t="s">
        <v>118</v>
      </c>
      <c r="B168" s="13" t="s">
        <v>1</v>
      </c>
      <c r="C168" s="13" t="s">
        <v>58</v>
      </c>
      <c r="D168" s="13" t="s">
        <v>0</v>
      </c>
      <c r="E168" s="13" t="s">
        <v>629</v>
      </c>
      <c r="F168" s="14" t="s">
        <v>119</v>
      </c>
      <c r="G168" s="15">
        <v>11109722.800000001</v>
      </c>
    </row>
    <row r="169" spans="1:7" s="96" customFormat="1" ht="46.8" x14ac:dyDescent="0.25">
      <c r="A169" s="29" t="s">
        <v>483</v>
      </c>
      <c r="B169" s="13" t="s">
        <v>1</v>
      </c>
      <c r="C169" s="13" t="s">
        <v>58</v>
      </c>
      <c r="D169" s="13" t="s">
        <v>0</v>
      </c>
      <c r="E169" s="13" t="s">
        <v>482</v>
      </c>
      <c r="F169" s="14"/>
      <c r="G169" s="15">
        <f>SUM(G170)</f>
        <v>9267.2000000000007</v>
      </c>
    </row>
    <row r="170" spans="1:7" s="96" customFormat="1" ht="31.2" x14ac:dyDescent="0.25">
      <c r="A170" s="29" t="s">
        <v>118</v>
      </c>
      <c r="B170" s="13" t="s">
        <v>1</v>
      </c>
      <c r="C170" s="13" t="s">
        <v>58</v>
      </c>
      <c r="D170" s="13" t="s">
        <v>0</v>
      </c>
      <c r="E170" s="13" t="s">
        <v>482</v>
      </c>
      <c r="F170" s="14" t="s">
        <v>119</v>
      </c>
      <c r="G170" s="15">
        <v>9267.2000000000007</v>
      </c>
    </row>
    <row r="171" spans="1:7" s="96" customFormat="1" x14ac:dyDescent="0.25">
      <c r="A171" s="29" t="s">
        <v>595</v>
      </c>
      <c r="B171" s="13" t="s">
        <v>1</v>
      </c>
      <c r="C171" s="13" t="s">
        <v>58</v>
      </c>
      <c r="D171" s="13" t="s">
        <v>0</v>
      </c>
      <c r="E171" s="13" t="s">
        <v>596</v>
      </c>
      <c r="F171" s="14"/>
      <c r="G171" s="15">
        <f>G172</f>
        <v>7803.7000000000007</v>
      </c>
    </row>
    <row r="172" spans="1:7" s="96" customFormat="1" ht="31.2" x14ac:dyDescent="0.25">
      <c r="A172" s="29" t="s">
        <v>118</v>
      </c>
      <c r="B172" s="13" t="s">
        <v>1</v>
      </c>
      <c r="C172" s="13" t="s">
        <v>58</v>
      </c>
      <c r="D172" s="13" t="s">
        <v>0</v>
      </c>
      <c r="E172" s="13" t="s">
        <v>596</v>
      </c>
      <c r="F172" s="14" t="s">
        <v>119</v>
      </c>
      <c r="G172" s="15">
        <f>386.1+7335.5+82.1</f>
        <v>7803.7000000000007</v>
      </c>
    </row>
    <row r="173" spans="1:7" s="96" customFormat="1" x14ac:dyDescent="0.25">
      <c r="A173" s="29" t="s">
        <v>475</v>
      </c>
      <c r="B173" s="13" t="s">
        <v>1</v>
      </c>
      <c r="C173" s="13" t="s">
        <v>58</v>
      </c>
      <c r="D173" s="13" t="s">
        <v>0</v>
      </c>
      <c r="E173" s="13" t="s">
        <v>471</v>
      </c>
      <c r="F173" s="14"/>
      <c r="G173" s="15">
        <f>SUM(G174)</f>
        <v>28903.5</v>
      </c>
    </row>
    <row r="174" spans="1:7" s="96" customFormat="1" ht="31.2" x14ac:dyDescent="0.25">
      <c r="A174" s="29" t="s">
        <v>118</v>
      </c>
      <c r="B174" s="13" t="s">
        <v>1</v>
      </c>
      <c r="C174" s="13" t="s">
        <v>58</v>
      </c>
      <c r="D174" s="13" t="s">
        <v>0</v>
      </c>
      <c r="E174" s="13" t="s">
        <v>471</v>
      </c>
      <c r="F174" s="14" t="s">
        <v>119</v>
      </c>
      <c r="G174" s="15">
        <f>31914.9+581.6+5738+5312.4+123.7-13881.1-886</f>
        <v>28903.5</v>
      </c>
    </row>
    <row r="175" spans="1:7" s="96" customFormat="1" ht="78" x14ac:dyDescent="0.25">
      <c r="A175" s="31" t="s">
        <v>469</v>
      </c>
      <c r="B175" s="13" t="s">
        <v>1</v>
      </c>
      <c r="C175" s="13" t="s">
        <v>58</v>
      </c>
      <c r="D175" s="13" t="s">
        <v>0</v>
      </c>
      <c r="E175" s="13" t="s">
        <v>213</v>
      </c>
      <c r="F175" s="14"/>
      <c r="G175" s="15">
        <f>G176+G177</f>
        <v>-1.5643308870494366E-10</v>
      </c>
    </row>
    <row r="176" spans="1:7" s="96" customFormat="1" ht="33.6" customHeight="1" x14ac:dyDescent="0.25">
      <c r="A176" s="29" t="s">
        <v>115</v>
      </c>
      <c r="B176" s="13" t="s">
        <v>1</v>
      </c>
      <c r="C176" s="13" t="s">
        <v>58</v>
      </c>
      <c r="D176" s="13" t="s">
        <v>0</v>
      </c>
      <c r="E176" s="13" t="s">
        <v>213</v>
      </c>
      <c r="F176" s="14" t="s">
        <v>20</v>
      </c>
      <c r="G176" s="15"/>
    </row>
    <row r="177" spans="1:7" s="96" customFormat="1" ht="30.6" customHeight="1" x14ac:dyDescent="0.25">
      <c r="A177" s="29" t="s">
        <v>118</v>
      </c>
      <c r="B177" s="13" t="s">
        <v>1</v>
      </c>
      <c r="C177" s="13" t="s">
        <v>58</v>
      </c>
      <c r="D177" s="13" t="s">
        <v>0</v>
      </c>
      <c r="E177" s="13" t="s">
        <v>213</v>
      </c>
      <c r="F177" s="14" t="s">
        <v>119</v>
      </c>
      <c r="G177" s="15">
        <f>309234.8+16275.6+132418.4+8452.3+259534.3+16566.2+88+809.9+74.1-325510.4-259534.3-16654.2-132418.4-9336.3</f>
        <v>-1.5643308870494366E-10</v>
      </c>
    </row>
    <row r="178" spans="1:7" s="96" customFormat="1" ht="51.6" customHeight="1" x14ac:dyDescent="0.25">
      <c r="A178" s="29" t="s">
        <v>627</v>
      </c>
      <c r="B178" s="13" t="s">
        <v>1</v>
      </c>
      <c r="C178" s="13" t="s">
        <v>58</v>
      </c>
      <c r="D178" s="13" t="s">
        <v>0</v>
      </c>
      <c r="E178" s="13" t="s">
        <v>626</v>
      </c>
      <c r="F178" s="14"/>
      <c r="G178" s="15">
        <f>G179</f>
        <v>155604.29999999999</v>
      </c>
    </row>
    <row r="179" spans="1:7" s="96" customFormat="1" ht="30.6" customHeight="1" x14ac:dyDescent="0.25">
      <c r="A179" s="29" t="s">
        <v>118</v>
      </c>
      <c r="B179" s="13" t="s">
        <v>1</v>
      </c>
      <c r="C179" s="13" t="s">
        <v>58</v>
      </c>
      <c r="D179" s="13" t="s">
        <v>0</v>
      </c>
      <c r="E179" s="13" t="s">
        <v>626</v>
      </c>
      <c r="F179" s="14" t="s">
        <v>119</v>
      </c>
      <c r="G179" s="15">
        <f>132418.4+9336.3+13849.5+0.1</f>
        <v>155604.29999999999</v>
      </c>
    </row>
    <row r="180" spans="1:7" s="96" customFormat="1" ht="48" customHeight="1" x14ac:dyDescent="0.25">
      <c r="A180" s="29" t="s">
        <v>625</v>
      </c>
      <c r="B180" s="13" t="s">
        <v>1</v>
      </c>
      <c r="C180" s="13" t="s">
        <v>58</v>
      </c>
      <c r="D180" s="13" t="s">
        <v>0</v>
      </c>
      <c r="E180" s="13" t="s">
        <v>624</v>
      </c>
      <c r="F180" s="14"/>
      <c r="G180" s="15">
        <f>G181</f>
        <v>277567.8</v>
      </c>
    </row>
    <row r="181" spans="1:7" s="96" customFormat="1" ht="30.6" customHeight="1" x14ac:dyDescent="0.25">
      <c r="A181" s="29" t="s">
        <v>118</v>
      </c>
      <c r="B181" s="13" t="s">
        <v>1</v>
      </c>
      <c r="C181" s="13" t="s">
        <v>58</v>
      </c>
      <c r="D181" s="13" t="s">
        <v>0</v>
      </c>
      <c r="E181" s="13" t="s">
        <v>624</v>
      </c>
      <c r="F181" s="14" t="s">
        <v>119</v>
      </c>
      <c r="G181" s="15">
        <f>259534.3+16654.2+1379.2+0.1</f>
        <v>277567.8</v>
      </c>
    </row>
    <row r="182" spans="1:7" s="96" customFormat="1" ht="96.6" customHeight="1" x14ac:dyDescent="0.25">
      <c r="A182" s="29" t="s">
        <v>536</v>
      </c>
      <c r="B182" s="13" t="s">
        <v>1</v>
      </c>
      <c r="C182" s="13" t="s">
        <v>58</v>
      </c>
      <c r="D182" s="13" t="s">
        <v>0</v>
      </c>
      <c r="E182" s="13" t="s">
        <v>328</v>
      </c>
      <c r="F182" s="14"/>
      <c r="G182" s="15">
        <f>G183</f>
        <v>49877.200000000012</v>
      </c>
    </row>
    <row r="183" spans="1:7" s="96" customFormat="1" ht="30.6" customHeight="1" x14ac:dyDescent="0.25">
      <c r="A183" s="29" t="s">
        <v>118</v>
      </c>
      <c r="B183" s="13" t="s">
        <v>1</v>
      </c>
      <c r="C183" s="13" t="s">
        <v>58</v>
      </c>
      <c r="D183" s="13" t="s">
        <v>0</v>
      </c>
      <c r="E183" s="13" t="s">
        <v>328</v>
      </c>
      <c r="F183" s="14" t="s">
        <v>119</v>
      </c>
      <c r="G183" s="15">
        <f>40674.3-3634.5-0.1+6599.3-1209+7447.3-0.1+0.1-0.1</f>
        <v>49877.200000000012</v>
      </c>
    </row>
    <row r="184" spans="1:7" s="96" customFormat="1" ht="30.6" customHeight="1" x14ac:dyDescent="0.25">
      <c r="A184" s="29" t="s">
        <v>473</v>
      </c>
      <c r="B184" s="13" t="s">
        <v>1</v>
      </c>
      <c r="C184" s="13" t="s">
        <v>58</v>
      </c>
      <c r="D184" s="13" t="s">
        <v>0</v>
      </c>
      <c r="E184" s="13" t="s">
        <v>470</v>
      </c>
      <c r="F184" s="14"/>
      <c r="G184" s="15">
        <f>SUM(G185)</f>
        <v>311861.50000000006</v>
      </c>
    </row>
    <row r="185" spans="1:7" s="96" customFormat="1" ht="30.6" customHeight="1" x14ac:dyDescent="0.25">
      <c r="A185" s="29" t="s">
        <v>118</v>
      </c>
      <c r="B185" s="13" t="s">
        <v>1</v>
      </c>
      <c r="C185" s="13" t="s">
        <v>58</v>
      </c>
      <c r="D185" s="13" t="s">
        <v>0</v>
      </c>
      <c r="E185" s="13" t="s">
        <v>470</v>
      </c>
      <c r="F185" s="14" t="s">
        <v>119</v>
      </c>
      <c r="G185" s="15">
        <f>216157.9-928.5+12538.2+2687.4+4682.8-446.9+55701.8+21332.9+20.2+115.7</f>
        <v>311861.50000000006</v>
      </c>
    </row>
    <row r="186" spans="1:7" s="96" customFormat="1" ht="39" customHeight="1" x14ac:dyDescent="0.25">
      <c r="A186" s="29" t="s">
        <v>606</v>
      </c>
      <c r="B186" s="13" t="s">
        <v>1</v>
      </c>
      <c r="C186" s="13" t="s">
        <v>58</v>
      </c>
      <c r="D186" s="13" t="s">
        <v>0</v>
      </c>
      <c r="E186" s="13" t="s">
        <v>601</v>
      </c>
      <c r="F186" s="14"/>
      <c r="G186" s="15">
        <f>G187</f>
        <v>2836.2000000000003</v>
      </c>
    </row>
    <row r="187" spans="1:7" s="96" customFormat="1" ht="30.6" customHeight="1" x14ac:dyDescent="0.25">
      <c r="A187" s="29" t="s">
        <v>118</v>
      </c>
      <c r="B187" s="13" t="s">
        <v>1</v>
      </c>
      <c r="C187" s="13" t="s">
        <v>58</v>
      </c>
      <c r="D187" s="13" t="s">
        <v>0</v>
      </c>
      <c r="E187" s="13" t="s">
        <v>601</v>
      </c>
      <c r="F187" s="14" t="s">
        <v>119</v>
      </c>
      <c r="G187" s="15">
        <f>1412+446.9+643+450-115.7</f>
        <v>2836.2000000000003</v>
      </c>
    </row>
    <row r="188" spans="1:7" s="96" customFormat="1" ht="46.8" x14ac:dyDescent="0.25">
      <c r="A188" s="29" t="s">
        <v>543</v>
      </c>
      <c r="B188" s="13" t="s">
        <v>1</v>
      </c>
      <c r="C188" s="25">
        <v>1</v>
      </c>
      <c r="D188" s="13" t="s">
        <v>0</v>
      </c>
      <c r="E188" s="13" t="s">
        <v>542</v>
      </c>
      <c r="F188" s="14"/>
      <c r="G188" s="15">
        <f>SUM(G189)</f>
        <v>1608.8</v>
      </c>
    </row>
    <row r="189" spans="1:7" s="96" customFormat="1" ht="30.6" customHeight="1" x14ac:dyDescent="0.25">
      <c r="A189" s="29" t="s">
        <v>118</v>
      </c>
      <c r="B189" s="13" t="s">
        <v>1</v>
      </c>
      <c r="C189" s="25">
        <v>1</v>
      </c>
      <c r="D189" s="13" t="s">
        <v>0</v>
      </c>
      <c r="E189" s="13" t="s">
        <v>542</v>
      </c>
      <c r="F189" s="14" t="s">
        <v>119</v>
      </c>
      <c r="G189" s="15">
        <f>198.3+1410.5</f>
        <v>1608.8</v>
      </c>
    </row>
    <row r="190" spans="1:7" s="96" customFormat="1" ht="50.4" customHeight="1" x14ac:dyDescent="0.25">
      <c r="A190" s="29" t="s">
        <v>621</v>
      </c>
      <c r="B190" s="13" t="s">
        <v>1</v>
      </c>
      <c r="C190" s="25">
        <v>1</v>
      </c>
      <c r="D190" s="13" t="s">
        <v>0</v>
      </c>
      <c r="E190" s="13" t="s">
        <v>619</v>
      </c>
      <c r="F190" s="14"/>
      <c r="G190" s="15">
        <f>G191</f>
        <v>325510.40000000002</v>
      </c>
    </row>
    <row r="191" spans="1:7" s="96" customFormat="1" ht="30.6" customHeight="1" x14ac:dyDescent="0.25">
      <c r="A191" s="29" t="s">
        <v>118</v>
      </c>
      <c r="B191" s="13" t="s">
        <v>1</v>
      </c>
      <c r="C191" s="25">
        <v>1</v>
      </c>
      <c r="D191" s="13" t="s">
        <v>0</v>
      </c>
      <c r="E191" s="13" t="s">
        <v>619</v>
      </c>
      <c r="F191" s="14" t="s">
        <v>119</v>
      </c>
      <c r="G191" s="15">
        <f>325510.4</f>
        <v>325510.40000000002</v>
      </c>
    </row>
    <row r="192" spans="1:7" s="96" customFormat="1" ht="67.2" customHeight="1" x14ac:dyDescent="0.25">
      <c r="A192" s="29" t="s">
        <v>622</v>
      </c>
      <c r="B192" s="13" t="s">
        <v>1</v>
      </c>
      <c r="C192" s="25">
        <v>1</v>
      </c>
      <c r="D192" s="13" t="s">
        <v>0</v>
      </c>
      <c r="E192" s="13" t="s">
        <v>620</v>
      </c>
      <c r="F192" s="14"/>
      <c r="G192" s="15">
        <f>G193</f>
        <v>5395.7</v>
      </c>
    </row>
    <row r="193" spans="1:7" s="96" customFormat="1" ht="30.6" customHeight="1" x14ac:dyDescent="0.25">
      <c r="A193" s="29" t="s">
        <v>118</v>
      </c>
      <c r="B193" s="13" t="s">
        <v>1</v>
      </c>
      <c r="C193" s="25">
        <v>1</v>
      </c>
      <c r="D193" s="13" t="s">
        <v>0</v>
      </c>
      <c r="E193" s="13" t="s">
        <v>620</v>
      </c>
      <c r="F193" s="14" t="s">
        <v>119</v>
      </c>
      <c r="G193" s="15">
        <f>3634.5+1209+552.2</f>
        <v>5395.7</v>
      </c>
    </row>
    <row r="194" spans="1:7" ht="46.8" x14ac:dyDescent="0.25">
      <c r="A194" s="31" t="s">
        <v>544</v>
      </c>
      <c r="B194" s="13" t="s">
        <v>1</v>
      </c>
      <c r="C194" s="13" t="s">
        <v>58</v>
      </c>
      <c r="D194" s="13" t="s">
        <v>1</v>
      </c>
      <c r="E194" s="13"/>
      <c r="F194" s="14"/>
      <c r="G194" s="15">
        <f>SUM(G195+G199+G201)</f>
        <v>8415.9</v>
      </c>
    </row>
    <row r="195" spans="1:7" ht="18" customHeight="1" x14ac:dyDescent="0.25">
      <c r="A195" s="31" t="s">
        <v>26</v>
      </c>
      <c r="B195" s="13" t="s">
        <v>1</v>
      </c>
      <c r="C195" s="13" t="s">
        <v>58</v>
      </c>
      <c r="D195" s="13" t="s">
        <v>1</v>
      </c>
      <c r="E195" s="13" t="s">
        <v>41</v>
      </c>
      <c r="F195" s="14"/>
      <c r="G195" s="15">
        <f>SUM(G196:G198)</f>
        <v>8376.4</v>
      </c>
    </row>
    <row r="196" spans="1:7" ht="31.95" customHeight="1" x14ac:dyDescent="0.25">
      <c r="A196" s="29" t="s">
        <v>114</v>
      </c>
      <c r="B196" s="13" t="s">
        <v>1</v>
      </c>
      <c r="C196" s="13" t="s">
        <v>58</v>
      </c>
      <c r="D196" s="13" t="s">
        <v>1</v>
      </c>
      <c r="E196" s="13" t="s">
        <v>41</v>
      </c>
      <c r="F196" s="14" t="s">
        <v>19</v>
      </c>
      <c r="G196" s="15">
        <v>8309.9</v>
      </c>
    </row>
    <row r="197" spans="1:7" ht="36" customHeight="1" x14ac:dyDescent="0.25">
      <c r="A197" s="29" t="s">
        <v>115</v>
      </c>
      <c r="B197" s="13" t="s">
        <v>1</v>
      </c>
      <c r="C197" s="13" t="s">
        <v>58</v>
      </c>
      <c r="D197" s="13" t="s">
        <v>1</v>
      </c>
      <c r="E197" s="13" t="s">
        <v>41</v>
      </c>
      <c r="F197" s="14" t="s">
        <v>20</v>
      </c>
      <c r="G197" s="15">
        <f>62.7+1.7</f>
        <v>64.400000000000006</v>
      </c>
    </row>
    <row r="198" spans="1:7" ht="18" customHeight="1" x14ac:dyDescent="0.25">
      <c r="A198" s="29" t="s">
        <v>21</v>
      </c>
      <c r="B198" s="13" t="s">
        <v>1</v>
      </c>
      <c r="C198" s="13" t="s">
        <v>58</v>
      </c>
      <c r="D198" s="13" t="s">
        <v>1</v>
      </c>
      <c r="E198" s="13" t="s">
        <v>41</v>
      </c>
      <c r="F198" s="14" t="s">
        <v>22</v>
      </c>
      <c r="G198" s="15">
        <v>2.1</v>
      </c>
    </row>
    <row r="199" spans="1:7" ht="16.5" customHeight="1" x14ac:dyDescent="0.25">
      <c r="A199" s="29" t="s">
        <v>228</v>
      </c>
      <c r="B199" s="13" t="s">
        <v>1</v>
      </c>
      <c r="C199" s="25">
        <v>1</v>
      </c>
      <c r="D199" s="13" t="s">
        <v>1</v>
      </c>
      <c r="E199" s="13" t="s">
        <v>229</v>
      </c>
      <c r="F199" s="13"/>
      <c r="G199" s="15">
        <f>SUM(G200)</f>
        <v>22.8</v>
      </c>
    </row>
    <row r="200" spans="1:7" ht="31.95" customHeight="1" x14ac:dyDescent="0.25">
      <c r="A200" s="29" t="s">
        <v>115</v>
      </c>
      <c r="B200" s="13" t="s">
        <v>1</v>
      </c>
      <c r="C200" s="25">
        <v>1</v>
      </c>
      <c r="D200" s="13" t="s">
        <v>1</v>
      </c>
      <c r="E200" s="13" t="s">
        <v>229</v>
      </c>
      <c r="F200" s="13" t="s">
        <v>20</v>
      </c>
      <c r="G200" s="15">
        <v>22.8</v>
      </c>
    </row>
    <row r="201" spans="1:7" x14ac:dyDescent="0.25">
      <c r="A201" s="29" t="s">
        <v>234</v>
      </c>
      <c r="B201" s="13" t="s">
        <v>1</v>
      </c>
      <c r="C201" s="13" t="s">
        <v>58</v>
      </c>
      <c r="D201" s="13" t="s">
        <v>1</v>
      </c>
      <c r="E201" s="13" t="s">
        <v>235</v>
      </c>
      <c r="F201" s="14"/>
      <c r="G201" s="15">
        <f>SUM(G202)</f>
        <v>16.7</v>
      </c>
    </row>
    <row r="202" spans="1:7" ht="33.75" customHeight="1" x14ac:dyDescent="0.25">
      <c r="A202" s="29" t="s">
        <v>115</v>
      </c>
      <c r="B202" s="13" t="s">
        <v>1</v>
      </c>
      <c r="C202" s="13" t="s">
        <v>58</v>
      </c>
      <c r="D202" s="13" t="s">
        <v>1</v>
      </c>
      <c r="E202" s="13" t="s">
        <v>235</v>
      </c>
      <c r="F202" s="14" t="s">
        <v>20</v>
      </c>
      <c r="G202" s="15">
        <v>16.7</v>
      </c>
    </row>
    <row r="203" spans="1:7" ht="15" customHeight="1" x14ac:dyDescent="0.25">
      <c r="A203" s="31" t="s">
        <v>462</v>
      </c>
      <c r="B203" s="13" t="s">
        <v>2</v>
      </c>
      <c r="C203" s="13"/>
      <c r="D203" s="13"/>
      <c r="E203" s="13"/>
      <c r="F203" s="14"/>
      <c r="G203" s="15">
        <f>SUM(G204)</f>
        <v>63088.100000000006</v>
      </c>
    </row>
    <row r="204" spans="1:7" ht="33.75" customHeight="1" x14ac:dyDescent="0.25">
      <c r="A204" s="29" t="s">
        <v>463</v>
      </c>
      <c r="B204" s="13" t="s">
        <v>2</v>
      </c>
      <c r="C204" s="13" t="s">
        <v>58</v>
      </c>
      <c r="D204" s="13"/>
      <c r="E204" s="13"/>
      <c r="F204" s="14"/>
      <c r="G204" s="15">
        <f>SUM(G205)</f>
        <v>63088.100000000006</v>
      </c>
    </row>
    <row r="205" spans="1:7" ht="62.4" x14ac:dyDescent="0.25">
      <c r="A205" s="29" t="s">
        <v>464</v>
      </c>
      <c r="B205" s="13" t="s">
        <v>2</v>
      </c>
      <c r="C205" s="13" t="s">
        <v>58</v>
      </c>
      <c r="D205" s="13" t="s">
        <v>0</v>
      </c>
      <c r="E205" s="13"/>
      <c r="F205" s="14"/>
      <c r="G205" s="15">
        <f>SUM(G208+G206)</f>
        <v>63088.100000000006</v>
      </c>
    </row>
    <row r="206" spans="1:7" ht="46.8" x14ac:dyDescent="0.25">
      <c r="A206" s="29" t="s">
        <v>495</v>
      </c>
      <c r="B206" s="13" t="s">
        <v>2</v>
      </c>
      <c r="C206" s="13" t="s">
        <v>58</v>
      </c>
      <c r="D206" s="13" t="s">
        <v>0</v>
      </c>
      <c r="E206" s="13" t="s">
        <v>496</v>
      </c>
      <c r="F206" s="14"/>
      <c r="G206" s="15">
        <f>SUM(G207)</f>
        <v>25414.100000000002</v>
      </c>
    </row>
    <row r="207" spans="1:7" ht="31.2" x14ac:dyDescent="0.25">
      <c r="A207" s="30" t="s">
        <v>116</v>
      </c>
      <c r="B207" s="13" t="s">
        <v>2</v>
      </c>
      <c r="C207" s="13" t="s">
        <v>58</v>
      </c>
      <c r="D207" s="13" t="s">
        <v>0</v>
      </c>
      <c r="E207" s="13" t="s">
        <v>496</v>
      </c>
      <c r="F207" s="14" t="s">
        <v>111</v>
      </c>
      <c r="G207" s="15">
        <f>10740.9+12334+2339.2</f>
        <v>25414.100000000002</v>
      </c>
    </row>
    <row r="208" spans="1:7" ht="47.25" customHeight="1" x14ac:dyDescent="0.25">
      <c r="A208" s="29" t="s">
        <v>327</v>
      </c>
      <c r="B208" s="13" t="s">
        <v>2</v>
      </c>
      <c r="C208" s="13" t="s">
        <v>58</v>
      </c>
      <c r="D208" s="13" t="s">
        <v>0</v>
      </c>
      <c r="E208" s="13" t="s">
        <v>326</v>
      </c>
      <c r="F208" s="14"/>
      <c r="G208" s="15">
        <f>SUM(G209)</f>
        <v>37674</v>
      </c>
    </row>
    <row r="209" spans="1:7" ht="34.950000000000003" customHeight="1" x14ac:dyDescent="0.25">
      <c r="A209" s="29" t="s">
        <v>115</v>
      </c>
      <c r="B209" s="13" t="s">
        <v>2</v>
      </c>
      <c r="C209" s="13" t="s">
        <v>58</v>
      </c>
      <c r="D209" s="13" t="s">
        <v>0</v>
      </c>
      <c r="E209" s="13" t="s">
        <v>326</v>
      </c>
      <c r="F209" s="14" t="s">
        <v>20</v>
      </c>
      <c r="G209" s="15">
        <v>37674</v>
      </c>
    </row>
    <row r="210" spans="1:7" s="96" customFormat="1" ht="13.5" customHeight="1" x14ac:dyDescent="0.25">
      <c r="A210" s="31" t="s">
        <v>367</v>
      </c>
      <c r="B210" s="13" t="s">
        <v>3</v>
      </c>
      <c r="C210" s="13"/>
      <c r="D210" s="13"/>
      <c r="E210" s="13"/>
      <c r="F210" s="14"/>
      <c r="G210" s="15">
        <f>SUM(G211)</f>
        <v>924082.20000000007</v>
      </c>
    </row>
    <row r="211" spans="1:7" s="96" customFormat="1" x14ac:dyDescent="0.25">
      <c r="A211" s="31" t="s">
        <v>368</v>
      </c>
      <c r="B211" s="13" t="s">
        <v>3</v>
      </c>
      <c r="C211" s="13" t="s">
        <v>58</v>
      </c>
      <c r="D211" s="13"/>
      <c r="E211" s="13"/>
      <c r="F211" s="14"/>
      <c r="G211" s="15">
        <f>SUM(G212+G221+G247+G242+G232+G268+G275+G279+G281)</f>
        <v>924082.20000000007</v>
      </c>
    </row>
    <row r="212" spans="1:7" s="96" customFormat="1" ht="31.2" x14ac:dyDescent="0.25">
      <c r="A212" s="31" t="s">
        <v>546</v>
      </c>
      <c r="B212" s="13" t="s">
        <v>3</v>
      </c>
      <c r="C212" s="13" t="s">
        <v>58</v>
      </c>
      <c r="D212" s="13" t="s">
        <v>0</v>
      </c>
      <c r="E212" s="13"/>
      <c r="F212" s="14"/>
      <c r="G212" s="15">
        <f>SUM(G213+G219+G217)</f>
        <v>8639.6</v>
      </c>
    </row>
    <row r="213" spans="1:7" s="96" customFormat="1" x14ac:dyDescent="0.25">
      <c r="A213" s="31" t="s">
        <v>26</v>
      </c>
      <c r="B213" s="13" t="s">
        <v>3</v>
      </c>
      <c r="C213" s="13" t="s">
        <v>58</v>
      </c>
      <c r="D213" s="13" t="s">
        <v>0</v>
      </c>
      <c r="E213" s="13" t="s">
        <v>41</v>
      </c>
      <c r="F213" s="14"/>
      <c r="G213" s="15">
        <f>SUM(G214:G216)</f>
        <v>8554.6</v>
      </c>
    </row>
    <row r="214" spans="1:7" s="96" customFormat="1" ht="46.8" x14ac:dyDescent="0.25">
      <c r="A214" s="29" t="s">
        <v>114</v>
      </c>
      <c r="B214" s="13" t="s">
        <v>3</v>
      </c>
      <c r="C214" s="13" t="s">
        <v>58</v>
      </c>
      <c r="D214" s="13" t="s">
        <v>0</v>
      </c>
      <c r="E214" s="13" t="s">
        <v>41</v>
      </c>
      <c r="F214" s="14" t="s">
        <v>19</v>
      </c>
      <c r="G214" s="15">
        <v>8252.4</v>
      </c>
    </row>
    <row r="215" spans="1:7" s="96" customFormat="1" ht="31.2" x14ac:dyDescent="0.25">
      <c r="A215" s="29" t="s">
        <v>115</v>
      </c>
      <c r="B215" s="13" t="s">
        <v>3</v>
      </c>
      <c r="C215" s="13" t="s">
        <v>58</v>
      </c>
      <c r="D215" s="13" t="s">
        <v>0</v>
      </c>
      <c r="E215" s="13" t="s">
        <v>41</v>
      </c>
      <c r="F215" s="14" t="s">
        <v>20</v>
      </c>
      <c r="G215" s="15">
        <v>302.2</v>
      </c>
    </row>
    <row r="216" spans="1:7" s="96" customFormat="1" x14ac:dyDescent="0.25">
      <c r="A216" s="29" t="s">
        <v>21</v>
      </c>
      <c r="B216" s="13" t="s">
        <v>3</v>
      </c>
      <c r="C216" s="13" t="s">
        <v>58</v>
      </c>
      <c r="D216" s="13" t="s">
        <v>0</v>
      </c>
      <c r="E216" s="13" t="s">
        <v>41</v>
      </c>
      <c r="F216" s="14" t="s">
        <v>22</v>
      </c>
      <c r="G216" s="15"/>
    </row>
    <row r="217" spans="1:7" s="96" customFormat="1" x14ac:dyDescent="0.25">
      <c r="A217" s="29" t="s">
        <v>228</v>
      </c>
      <c r="B217" s="13" t="s">
        <v>3</v>
      </c>
      <c r="C217" s="25">
        <v>1</v>
      </c>
      <c r="D217" s="13" t="s">
        <v>0</v>
      </c>
      <c r="E217" s="13" t="s">
        <v>229</v>
      </c>
      <c r="F217" s="13"/>
      <c r="G217" s="15">
        <f>SUM(G218)</f>
        <v>27.7</v>
      </c>
    </row>
    <row r="218" spans="1:7" s="96" customFormat="1" ht="31.2" x14ac:dyDescent="0.25">
      <c r="A218" s="29" t="s">
        <v>115</v>
      </c>
      <c r="B218" s="13" t="s">
        <v>3</v>
      </c>
      <c r="C218" s="25">
        <v>1</v>
      </c>
      <c r="D218" s="13" t="s">
        <v>0</v>
      </c>
      <c r="E218" s="13" t="s">
        <v>229</v>
      </c>
      <c r="F218" s="13" t="s">
        <v>20</v>
      </c>
      <c r="G218" s="15">
        <v>27.7</v>
      </c>
    </row>
    <row r="219" spans="1:7" s="96" customFormat="1" x14ac:dyDescent="0.25">
      <c r="A219" s="29" t="s">
        <v>234</v>
      </c>
      <c r="B219" s="13" t="s">
        <v>3</v>
      </c>
      <c r="C219" s="13" t="s">
        <v>58</v>
      </c>
      <c r="D219" s="13" t="s">
        <v>0</v>
      </c>
      <c r="E219" s="13" t="s">
        <v>235</v>
      </c>
      <c r="F219" s="14"/>
      <c r="G219" s="15">
        <f>SUM(G220)</f>
        <v>57.3</v>
      </c>
    </row>
    <row r="220" spans="1:7" s="96" customFormat="1" ht="31.2" x14ac:dyDescent="0.25">
      <c r="A220" s="29" t="s">
        <v>115</v>
      </c>
      <c r="B220" s="13" t="s">
        <v>3</v>
      </c>
      <c r="C220" s="13" t="s">
        <v>58</v>
      </c>
      <c r="D220" s="13" t="s">
        <v>0</v>
      </c>
      <c r="E220" s="13" t="s">
        <v>235</v>
      </c>
      <c r="F220" s="14" t="s">
        <v>20</v>
      </c>
      <c r="G220" s="15">
        <v>57.3</v>
      </c>
    </row>
    <row r="221" spans="1:7" s="96" customFormat="1" ht="31.2" x14ac:dyDescent="0.25">
      <c r="A221" s="31" t="s">
        <v>487</v>
      </c>
      <c r="B221" s="13" t="s">
        <v>3</v>
      </c>
      <c r="C221" s="13" t="s">
        <v>58</v>
      </c>
      <c r="D221" s="13" t="s">
        <v>1</v>
      </c>
      <c r="E221" s="13"/>
      <c r="F221" s="14"/>
      <c r="G221" s="15">
        <f>G222+G227+G229</f>
        <v>845591.8</v>
      </c>
    </row>
    <row r="222" spans="1:7" s="96" customFormat="1" ht="46.8" x14ac:dyDescent="0.25">
      <c r="A222" s="31" t="s">
        <v>28</v>
      </c>
      <c r="B222" s="13" t="s">
        <v>3</v>
      </c>
      <c r="C222" s="13" t="s">
        <v>58</v>
      </c>
      <c r="D222" s="13" t="s">
        <v>1</v>
      </c>
      <c r="E222" s="13" t="s">
        <v>51</v>
      </c>
      <c r="F222" s="13"/>
      <c r="G222" s="15">
        <f>SUM(G223:G226)</f>
        <v>845316.4</v>
      </c>
    </row>
    <row r="223" spans="1:7" s="96" customFormat="1" ht="46.8" x14ac:dyDescent="0.25">
      <c r="A223" s="29" t="s">
        <v>114</v>
      </c>
      <c r="B223" s="13" t="s">
        <v>3</v>
      </c>
      <c r="C223" s="13" t="s">
        <v>58</v>
      </c>
      <c r="D223" s="13" t="s">
        <v>1</v>
      </c>
      <c r="E223" s="13" t="s">
        <v>51</v>
      </c>
      <c r="F223" s="14" t="s">
        <v>19</v>
      </c>
      <c r="G223" s="15">
        <f>36349.9+350519.7-30969.4-27.3-1.6+1.2+27.3</f>
        <v>355899.80000000005</v>
      </c>
    </row>
    <row r="224" spans="1:7" s="96" customFormat="1" ht="31.2" x14ac:dyDescent="0.25">
      <c r="A224" s="29" t="s">
        <v>115</v>
      </c>
      <c r="B224" s="13" t="s">
        <v>3</v>
      </c>
      <c r="C224" s="13" t="s">
        <v>58</v>
      </c>
      <c r="D224" s="13" t="s">
        <v>1</v>
      </c>
      <c r="E224" s="13" t="s">
        <v>51</v>
      </c>
      <c r="F224" s="14" t="s">
        <v>20</v>
      </c>
      <c r="G224" s="15">
        <f>6431.1+53662.8+88.1+2823.6+1664+0.1-3859.7+42.7+3816.2-3816.2-8.7-40.7+208</f>
        <v>61011.3</v>
      </c>
    </row>
    <row r="225" spans="1:7" s="96" customFormat="1" ht="31.2" x14ac:dyDescent="0.25">
      <c r="A225" s="30" t="s">
        <v>116</v>
      </c>
      <c r="B225" s="13" t="s">
        <v>3</v>
      </c>
      <c r="C225" s="13" t="s">
        <v>58</v>
      </c>
      <c r="D225" s="13" t="s">
        <v>1</v>
      </c>
      <c r="E225" s="13" t="s">
        <v>51</v>
      </c>
      <c r="F225" s="14" t="s">
        <v>111</v>
      </c>
      <c r="G225" s="15">
        <f>393143.6+34799.1-3829.7+3829.7</f>
        <v>427942.69999999995</v>
      </c>
    </row>
    <row r="226" spans="1:7" s="96" customFormat="1" x14ac:dyDescent="0.25">
      <c r="A226" s="29" t="s">
        <v>21</v>
      </c>
      <c r="B226" s="13" t="s">
        <v>3</v>
      </c>
      <c r="C226" s="13" t="s">
        <v>58</v>
      </c>
      <c r="D226" s="13" t="s">
        <v>1</v>
      </c>
      <c r="E226" s="13" t="s">
        <v>51</v>
      </c>
      <c r="F226" s="14" t="s">
        <v>22</v>
      </c>
      <c r="G226" s="15">
        <f>1.1+395.9-12.7+13.5+27.3+1.6-13.5+8.7+40.7</f>
        <v>462.6</v>
      </c>
    </row>
    <row r="227" spans="1:7" s="96" customFormat="1" ht="78" x14ac:dyDescent="0.25">
      <c r="A227" s="29" t="s">
        <v>325</v>
      </c>
      <c r="B227" s="13" t="s">
        <v>3</v>
      </c>
      <c r="C227" s="13" t="s">
        <v>58</v>
      </c>
      <c r="D227" s="13" t="s">
        <v>1</v>
      </c>
      <c r="E227" s="13" t="s">
        <v>324</v>
      </c>
      <c r="F227" s="14"/>
      <c r="G227" s="15">
        <f>G228</f>
        <v>197.1</v>
      </c>
    </row>
    <row r="228" spans="1:7" s="96" customFormat="1" ht="31.2" x14ac:dyDescent="0.25">
      <c r="A228" s="30" t="s">
        <v>116</v>
      </c>
      <c r="B228" s="13" t="s">
        <v>3</v>
      </c>
      <c r="C228" s="13" t="s">
        <v>58</v>
      </c>
      <c r="D228" s="13" t="s">
        <v>1</v>
      </c>
      <c r="E228" s="13" t="s">
        <v>324</v>
      </c>
      <c r="F228" s="14" t="s">
        <v>111</v>
      </c>
      <c r="G228" s="15">
        <v>197.1</v>
      </c>
    </row>
    <row r="229" spans="1:7" s="96" customFormat="1" ht="93.6" x14ac:dyDescent="0.25">
      <c r="A229" s="33" t="s">
        <v>184</v>
      </c>
      <c r="B229" s="13" t="s">
        <v>3</v>
      </c>
      <c r="C229" s="13" t="s">
        <v>58</v>
      </c>
      <c r="D229" s="13" t="s">
        <v>1</v>
      </c>
      <c r="E229" s="13" t="s">
        <v>84</v>
      </c>
      <c r="F229" s="14"/>
      <c r="G229" s="15">
        <f>SUM(G230:G231)</f>
        <v>78.3</v>
      </c>
    </row>
    <row r="230" spans="1:7" s="96" customFormat="1" ht="31.2" x14ac:dyDescent="0.25">
      <c r="A230" s="29" t="s">
        <v>115</v>
      </c>
      <c r="B230" s="13" t="s">
        <v>3</v>
      </c>
      <c r="C230" s="13" t="s">
        <v>58</v>
      </c>
      <c r="D230" s="13" t="s">
        <v>1</v>
      </c>
      <c r="E230" s="13" t="s">
        <v>84</v>
      </c>
      <c r="F230" s="14" t="s">
        <v>20</v>
      </c>
      <c r="G230" s="15">
        <v>1.2</v>
      </c>
    </row>
    <row r="231" spans="1:7" s="96" customFormat="1" ht="31.2" x14ac:dyDescent="0.25">
      <c r="A231" s="30" t="s">
        <v>116</v>
      </c>
      <c r="B231" s="13" t="s">
        <v>3</v>
      </c>
      <c r="C231" s="13" t="s">
        <v>58</v>
      </c>
      <c r="D231" s="13" t="s">
        <v>1</v>
      </c>
      <c r="E231" s="13" t="s">
        <v>84</v>
      </c>
      <c r="F231" s="14" t="s">
        <v>111</v>
      </c>
      <c r="G231" s="15">
        <v>77.099999999999994</v>
      </c>
    </row>
    <row r="232" spans="1:7" s="96" customFormat="1" ht="78" x14ac:dyDescent="0.25">
      <c r="A232" s="29" t="s">
        <v>515</v>
      </c>
      <c r="B232" s="14" t="s">
        <v>3</v>
      </c>
      <c r="C232" s="16">
        <v>1</v>
      </c>
      <c r="D232" s="14" t="s">
        <v>2</v>
      </c>
      <c r="E232" s="14"/>
      <c r="F232" s="14"/>
      <c r="G232" s="15">
        <f>SUM(G233+G236+G239)</f>
        <v>4519.6000000000004</v>
      </c>
    </row>
    <row r="233" spans="1:7" s="96" customFormat="1" ht="46.8" x14ac:dyDescent="0.25">
      <c r="A233" s="32" t="s">
        <v>516</v>
      </c>
      <c r="B233" s="14" t="s">
        <v>3</v>
      </c>
      <c r="C233" s="16">
        <v>1</v>
      </c>
      <c r="D233" s="14" t="s">
        <v>2</v>
      </c>
      <c r="E233" s="14" t="s">
        <v>517</v>
      </c>
      <c r="F233" s="14"/>
      <c r="G233" s="15">
        <f>SUM(G234+G235)</f>
        <v>3474</v>
      </c>
    </row>
    <row r="234" spans="1:7" s="96" customFormat="1" ht="46.8" x14ac:dyDescent="0.25">
      <c r="A234" s="29" t="s">
        <v>114</v>
      </c>
      <c r="B234" s="14" t="s">
        <v>3</v>
      </c>
      <c r="C234" s="16">
        <v>1</v>
      </c>
      <c r="D234" s="14" t="s">
        <v>2</v>
      </c>
      <c r="E234" s="14" t="s">
        <v>517</v>
      </c>
      <c r="F234" s="14" t="s">
        <v>19</v>
      </c>
      <c r="G234" s="15">
        <f>160.5+90+735+171-108+123</f>
        <v>1171.5</v>
      </c>
    </row>
    <row r="235" spans="1:7" s="96" customFormat="1" ht="31.2" x14ac:dyDescent="0.25">
      <c r="A235" s="30" t="s">
        <v>116</v>
      </c>
      <c r="B235" s="14" t="s">
        <v>3</v>
      </c>
      <c r="C235" s="16">
        <v>1</v>
      </c>
      <c r="D235" s="14" t="s">
        <v>2</v>
      </c>
      <c r="E235" s="14" t="s">
        <v>517</v>
      </c>
      <c r="F235" s="14" t="s">
        <v>111</v>
      </c>
      <c r="G235" s="15">
        <f>444+258+442.5+444+450+36+243-27+12</f>
        <v>2302.5</v>
      </c>
    </row>
    <row r="236" spans="1:7" s="96" customFormat="1" x14ac:dyDescent="0.25">
      <c r="A236" s="31" t="s">
        <v>343</v>
      </c>
      <c r="B236" s="14" t="s">
        <v>3</v>
      </c>
      <c r="C236" s="16">
        <v>1</v>
      </c>
      <c r="D236" s="14" t="s">
        <v>2</v>
      </c>
      <c r="E236" s="14" t="s">
        <v>342</v>
      </c>
      <c r="F236" s="14"/>
      <c r="G236" s="15">
        <f>SUM(G237:G238)</f>
        <v>176.60000000000002</v>
      </c>
    </row>
    <row r="237" spans="1:7" s="96" customFormat="1" ht="46.8" x14ac:dyDescent="0.25">
      <c r="A237" s="29" t="s">
        <v>114</v>
      </c>
      <c r="B237" s="14" t="s">
        <v>3</v>
      </c>
      <c r="C237" s="16">
        <v>1</v>
      </c>
      <c r="D237" s="14" t="s">
        <v>2</v>
      </c>
      <c r="E237" s="14" t="s">
        <v>342</v>
      </c>
      <c r="F237" s="14" t="s">
        <v>19</v>
      </c>
      <c r="G237" s="15">
        <v>58.9</v>
      </c>
    </row>
    <row r="238" spans="1:7" s="96" customFormat="1" ht="31.2" x14ac:dyDescent="0.25">
      <c r="A238" s="30" t="s">
        <v>116</v>
      </c>
      <c r="B238" s="14" t="s">
        <v>3</v>
      </c>
      <c r="C238" s="16">
        <v>1</v>
      </c>
      <c r="D238" s="14" t="s">
        <v>2</v>
      </c>
      <c r="E238" s="14" t="s">
        <v>342</v>
      </c>
      <c r="F238" s="14" t="s">
        <v>111</v>
      </c>
      <c r="G238" s="15">
        <f>223.9+117.7-223.8-0.1</f>
        <v>117.70000000000002</v>
      </c>
    </row>
    <row r="239" spans="1:7" s="96" customFormat="1" x14ac:dyDescent="0.25">
      <c r="A239" s="29" t="s">
        <v>518</v>
      </c>
      <c r="B239" s="13" t="s">
        <v>3</v>
      </c>
      <c r="C239" s="16">
        <v>1</v>
      </c>
      <c r="D239" s="14" t="s">
        <v>2</v>
      </c>
      <c r="E239" s="14" t="s">
        <v>64</v>
      </c>
      <c r="F239" s="14"/>
      <c r="G239" s="15">
        <f>SUM(G240:G241)</f>
        <v>869</v>
      </c>
    </row>
    <row r="240" spans="1:7" s="96" customFormat="1" ht="31.2" x14ac:dyDescent="0.25">
      <c r="A240" s="29" t="s">
        <v>115</v>
      </c>
      <c r="B240" s="13" t="s">
        <v>3</v>
      </c>
      <c r="C240" s="16">
        <v>1</v>
      </c>
      <c r="D240" s="14" t="s">
        <v>2</v>
      </c>
      <c r="E240" s="14" t="s">
        <v>64</v>
      </c>
      <c r="F240" s="14" t="s">
        <v>20</v>
      </c>
      <c r="G240" s="15">
        <f>533.2</f>
        <v>533.20000000000005</v>
      </c>
    </row>
    <row r="241" spans="1:7" s="96" customFormat="1" ht="31.2" x14ac:dyDescent="0.25">
      <c r="A241" s="30" t="s">
        <v>116</v>
      </c>
      <c r="B241" s="13" t="s">
        <v>3</v>
      </c>
      <c r="C241" s="16">
        <v>1</v>
      </c>
      <c r="D241" s="14" t="s">
        <v>2</v>
      </c>
      <c r="E241" s="14" t="s">
        <v>64</v>
      </c>
      <c r="F241" s="14" t="s">
        <v>111</v>
      </c>
      <c r="G241" s="15">
        <v>335.8</v>
      </c>
    </row>
    <row r="242" spans="1:7" s="96" customFormat="1" ht="31.5" customHeight="1" x14ac:dyDescent="0.25">
      <c r="A242" s="29" t="s">
        <v>547</v>
      </c>
      <c r="B242" s="13" t="s">
        <v>3</v>
      </c>
      <c r="C242" s="16">
        <v>1</v>
      </c>
      <c r="D242" s="14" t="s">
        <v>3</v>
      </c>
      <c r="E242" s="14"/>
      <c r="F242" s="14"/>
      <c r="G242" s="15">
        <f>SUM(G243)</f>
        <v>11084.8</v>
      </c>
    </row>
    <row r="243" spans="1:7" s="96" customFormat="1" x14ac:dyDescent="0.25">
      <c r="A243" s="29" t="s">
        <v>518</v>
      </c>
      <c r="B243" s="13" t="s">
        <v>3</v>
      </c>
      <c r="C243" s="13" t="s">
        <v>58</v>
      </c>
      <c r="D243" s="14" t="s">
        <v>3</v>
      </c>
      <c r="E243" s="13" t="s">
        <v>64</v>
      </c>
      <c r="F243" s="14"/>
      <c r="G243" s="15">
        <f>SUM(G244:G246)</f>
        <v>11084.8</v>
      </c>
    </row>
    <row r="244" spans="1:7" s="96" customFormat="1" ht="31.2" x14ac:dyDescent="0.25">
      <c r="A244" s="29" t="s">
        <v>115</v>
      </c>
      <c r="B244" s="13" t="s">
        <v>3</v>
      </c>
      <c r="C244" s="13" t="s">
        <v>58</v>
      </c>
      <c r="D244" s="14" t="s">
        <v>3</v>
      </c>
      <c r="E244" s="13" t="s">
        <v>64</v>
      </c>
      <c r="F244" s="14" t="s">
        <v>20</v>
      </c>
      <c r="G244" s="15">
        <f>2646+739.5+200+1438.4+400+98.8</f>
        <v>5522.7</v>
      </c>
    </row>
    <row r="245" spans="1:7" s="96" customFormat="1" x14ac:dyDescent="0.25">
      <c r="A245" s="29" t="s">
        <v>117</v>
      </c>
      <c r="B245" s="13" t="s">
        <v>3</v>
      </c>
      <c r="C245" s="13" t="s">
        <v>58</v>
      </c>
      <c r="D245" s="14" t="s">
        <v>3</v>
      </c>
      <c r="E245" s="13" t="s">
        <v>64</v>
      </c>
      <c r="F245" s="14" t="s">
        <v>109</v>
      </c>
      <c r="G245" s="15">
        <f>74.7+28.7</f>
        <v>103.4</v>
      </c>
    </row>
    <row r="246" spans="1:7" s="96" customFormat="1" ht="31.2" x14ac:dyDescent="0.25">
      <c r="A246" s="30" t="s">
        <v>116</v>
      </c>
      <c r="B246" s="13" t="s">
        <v>3</v>
      </c>
      <c r="C246" s="13" t="s">
        <v>58</v>
      </c>
      <c r="D246" s="14" t="s">
        <v>3</v>
      </c>
      <c r="E246" s="13" t="s">
        <v>64</v>
      </c>
      <c r="F246" s="14" t="s">
        <v>111</v>
      </c>
      <c r="G246" s="15">
        <f>544.8+4508.4+332.7+3347-1033.6-2448.2+471.9+234.5-898.8+100+300</f>
        <v>5458.6999999999989</v>
      </c>
    </row>
    <row r="247" spans="1:7" s="96" customFormat="1" ht="31.2" x14ac:dyDescent="0.25">
      <c r="A247" s="31" t="s">
        <v>488</v>
      </c>
      <c r="B247" s="13" t="s">
        <v>3</v>
      </c>
      <c r="C247" s="13" t="s">
        <v>58</v>
      </c>
      <c r="D247" s="13" t="s">
        <v>4</v>
      </c>
      <c r="E247" s="13"/>
      <c r="F247" s="14"/>
      <c r="G247" s="15">
        <f>SUM(G250+G252+G254+G256+G259+G264+G266+G248+G262)</f>
        <v>40858.699999999997</v>
      </c>
    </row>
    <row r="248" spans="1:7" s="96" customFormat="1" ht="31.2" x14ac:dyDescent="0.25">
      <c r="A248" s="31" t="s">
        <v>323</v>
      </c>
      <c r="B248" s="13" t="s">
        <v>3</v>
      </c>
      <c r="C248" s="13" t="s">
        <v>58</v>
      </c>
      <c r="D248" s="13" t="s">
        <v>4</v>
      </c>
      <c r="E248" s="13" t="s">
        <v>259</v>
      </c>
      <c r="F248" s="14"/>
      <c r="G248" s="15">
        <f>G249</f>
        <v>3550</v>
      </c>
    </row>
    <row r="249" spans="1:7" s="96" customFormat="1" ht="31.2" x14ac:dyDescent="0.25">
      <c r="A249" s="29" t="s">
        <v>115</v>
      </c>
      <c r="B249" s="13" t="s">
        <v>3</v>
      </c>
      <c r="C249" s="13" t="s">
        <v>58</v>
      </c>
      <c r="D249" s="13" t="s">
        <v>4</v>
      </c>
      <c r="E249" s="13" t="s">
        <v>259</v>
      </c>
      <c r="F249" s="14" t="s">
        <v>20</v>
      </c>
      <c r="G249" s="15">
        <v>3550</v>
      </c>
    </row>
    <row r="250" spans="1:7" s="96" customFormat="1" ht="94.5" customHeight="1" x14ac:dyDescent="0.25">
      <c r="A250" s="29" t="s">
        <v>331</v>
      </c>
      <c r="B250" s="14" t="s">
        <v>3</v>
      </c>
      <c r="C250" s="16">
        <v>1</v>
      </c>
      <c r="D250" s="13" t="s">
        <v>4</v>
      </c>
      <c r="E250" s="14" t="s">
        <v>332</v>
      </c>
      <c r="F250" s="14"/>
      <c r="G250" s="15">
        <f>SUM(G251)</f>
        <v>5550</v>
      </c>
    </row>
    <row r="251" spans="1:7" s="96" customFormat="1" ht="31.2" x14ac:dyDescent="0.25">
      <c r="A251" s="30" t="s">
        <v>116</v>
      </c>
      <c r="B251" s="14" t="s">
        <v>3</v>
      </c>
      <c r="C251" s="16">
        <v>1</v>
      </c>
      <c r="D251" s="13" t="s">
        <v>4</v>
      </c>
      <c r="E251" s="14" t="s">
        <v>332</v>
      </c>
      <c r="F251" s="14" t="s">
        <v>111</v>
      </c>
      <c r="G251" s="15">
        <f>999.1+4550.9</f>
        <v>5550</v>
      </c>
    </row>
    <row r="252" spans="1:7" s="96" customFormat="1" ht="109.2" x14ac:dyDescent="0.25">
      <c r="A252" s="29" t="s">
        <v>571</v>
      </c>
      <c r="B252" s="14" t="s">
        <v>3</v>
      </c>
      <c r="C252" s="16">
        <v>1</v>
      </c>
      <c r="D252" s="13" t="s">
        <v>4</v>
      </c>
      <c r="E252" s="14" t="s">
        <v>537</v>
      </c>
      <c r="F252" s="14"/>
      <c r="G252" s="15">
        <f>SUM(G253)</f>
        <v>118.8</v>
      </c>
    </row>
    <row r="253" spans="1:7" s="96" customFormat="1" ht="31.2" x14ac:dyDescent="0.25">
      <c r="A253" s="30" t="s">
        <v>116</v>
      </c>
      <c r="B253" s="14" t="s">
        <v>3</v>
      </c>
      <c r="C253" s="16">
        <v>1</v>
      </c>
      <c r="D253" s="13" t="s">
        <v>4</v>
      </c>
      <c r="E253" s="14" t="s">
        <v>537</v>
      </c>
      <c r="F253" s="14" t="s">
        <v>111</v>
      </c>
      <c r="G253" s="15">
        <v>118.8</v>
      </c>
    </row>
    <row r="254" spans="1:7" s="96" customFormat="1" x14ac:dyDescent="0.25">
      <c r="A254" s="29" t="s">
        <v>519</v>
      </c>
      <c r="B254" s="14" t="s">
        <v>3</v>
      </c>
      <c r="C254" s="16">
        <v>1</v>
      </c>
      <c r="D254" s="13" t="s">
        <v>4</v>
      </c>
      <c r="E254" s="14" t="s">
        <v>559</v>
      </c>
      <c r="F254" s="14"/>
      <c r="G254" s="15">
        <f>SUM(G255)</f>
        <v>11184.8</v>
      </c>
    </row>
    <row r="255" spans="1:7" s="96" customFormat="1" ht="31.2" x14ac:dyDescent="0.25">
      <c r="A255" s="30" t="s">
        <v>116</v>
      </c>
      <c r="B255" s="14" t="s">
        <v>3</v>
      </c>
      <c r="C255" s="16">
        <v>1</v>
      </c>
      <c r="D255" s="13" t="s">
        <v>4</v>
      </c>
      <c r="E255" s="14" t="s">
        <v>559</v>
      </c>
      <c r="F255" s="14" t="s">
        <v>111</v>
      </c>
      <c r="G255" s="15">
        <f>6070.9+5113.9</f>
        <v>11184.8</v>
      </c>
    </row>
    <row r="256" spans="1:7" s="96" customFormat="1" x14ac:dyDescent="0.25">
      <c r="A256" s="29" t="s">
        <v>518</v>
      </c>
      <c r="B256" s="13" t="s">
        <v>3</v>
      </c>
      <c r="C256" s="13" t="s">
        <v>58</v>
      </c>
      <c r="D256" s="13" t="s">
        <v>4</v>
      </c>
      <c r="E256" s="13" t="s">
        <v>64</v>
      </c>
      <c r="F256" s="14"/>
      <c r="G256" s="15">
        <f>SUM(G257:G258)</f>
        <v>16664.100000000002</v>
      </c>
    </row>
    <row r="257" spans="1:7" s="96" customFormat="1" ht="31.2" x14ac:dyDescent="0.25">
      <c r="A257" s="29" t="s">
        <v>115</v>
      </c>
      <c r="B257" s="13" t="s">
        <v>3</v>
      </c>
      <c r="C257" s="13" t="s">
        <v>58</v>
      </c>
      <c r="D257" s="13" t="s">
        <v>4</v>
      </c>
      <c r="E257" s="13" t="s">
        <v>64</v>
      </c>
      <c r="F257" s="14" t="s">
        <v>20</v>
      </c>
      <c r="G257" s="15">
        <v>7196.7</v>
      </c>
    </row>
    <row r="258" spans="1:7" s="96" customFormat="1" ht="31.2" x14ac:dyDescent="0.25">
      <c r="A258" s="30" t="s">
        <v>116</v>
      </c>
      <c r="B258" s="13" t="s">
        <v>3</v>
      </c>
      <c r="C258" s="13" t="s">
        <v>58</v>
      </c>
      <c r="D258" s="13" t="s">
        <v>4</v>
      </c>
      <c r="E258" s="13" t="s">
        <v>64</v>
      </c>
      <c r="F258" s="14" t="s">
        <v>111</v>
      </c>
      <c r="G258" s="15">
        <f>8340.1-6645.9-208+7981.2</f>
        <v>9467.4000000000015</v>
      </c>
    </row>
    <row r="259" spans="1:7" s="96" customFormat="1" ht="31.2" x14ac:dyDescent="0.25">
      <c r="A259" s="29" t="s">
        <v>492</v>
      </c>
      <c r="B259" s="13" t="s">
        <v>3</v>
      </c>
      <c r="C259" s="13" t="s">
        <v>58</v>
      </c>
      <c r="D259" s="13" t="s">
        <v>4</v>
      </c>
      <c r="E259" s="13" t="s">
        <v>491</v>
      </c>
      <c r="F259" s="14"/>
      <c r="G259" s="15">
        <f>SUM(G260+G261)</f>
        <v>975.59999999999991</v>
      </c>
    </row>
    <row r="260" spans="1:7" s="96" customFormat="1" ht="31.2" x14ac:dyDescent="0.25">
      <c r="A260" s="29" t="s">
        <v>115</v>
      </c>
      <c r="B260" s="13" t="s">
        <v>3</v>
      </c>
      <c r="C260" s="13" t="s">
        <v>58</v>
      </c>
      <c r="D260" s="13" t="s">
        <v>4</v>
      </c>
      <c r="E260" s="13" t="s">
        <v>491</v>
      </c>
      <c r="F260" s="14" t="s">
        <v>20</v>
      </c>
      <c r="G260" s="15">
        <f>2009.3-1033.7</f>
        <v>975.59999999999991</v>
      </c>
    </row>
    <row r="261" spans="1:7" s="96" customFormat="1" ht="31.2" x14ac:dyDescent="0.25">
      <c r="A261" s="30" t="s">
        <v>116</v>
      </c>
      <c r="B261" s="13" t="s">
        <v>3</v>
      </c>
      <c r="C261" s="13" t="s">
        <v>58</v>
      </c>
      <c r="D261" s="13" t="s">
        <v>4</v>
      </c>
      <c r="E261" s="13" t="s">
        <v>491</v>
      </c>
      <c r="F261" s="14" t="s">
        <v>111</v>
      </c>
      <c r="G261" s="15">
        <f>975.7-975.7</f>
        <v>0</v>
      </c>
    </row>
    <row r="262" spans="1:7" s="96" customFormat="1" ht="46.8" x14ac:dyDescent="0.25">
      <c r="A262" s="29" t="s">
        <v>632</v>
      </c>
      <c r="B262" s="13" t="s">
        <v>3</v>
      </c>
      <c r="C262" s="13" t="s">
        <v>58</v>
      </c>
      <c r="D262" s="14" t="s">
        <v>4</v>
      </c>
      <c r="E262" s="13" t="s">
        <v>633</v>
      </c>
      <c r="F262" s="14"/>
      <c r="G262" s="15">
        <f>G263</f>
        <v>1033.7</v>
      </c>
    </row>
    <row r="263" spans="1:7" s="96" customFormat="1" ht="31.2" x14ac:dyDescent="0.25">
      <c r="A263" s="29" t="s">
        <v>115</v>
      </c>
      <c r="B263" s="13" t="s">
        <v>3</v>
      </c>
      <c r="C263" s="13" t="s">
        <v>58</v>
      </c>
      <c r="D263" s="14" t="s">
        <v>4</v>
      </c>
      <c r="E263" s="13" t="s">
        <v>633</v>
      </c>
      <c r="F263" s="14" t="s">
        <v>20</v>
      </c>
      <c r="G263" s="15">
        <v>1033.7</v>
      </c>
    </row>
    <row r="264" spans="1:7" s="96" customFormat="1" ht="31.2" x14ac:dyDescent="0.25">
      <c r="A264" s="29" t="s">
        <v>490</v>
      </c>
      <c r="B264" s="13" t="s">
        <v>3</v>
      </c>
      <c r="C264" s="13" t="s">
        <v>58</v>
      </c>
      <c r="D264" s="13" t="s">
        <v>4</v>
      </c>
      <c r="E264" s="13" t="s">
        <v>489</v>
      </c>
      <c r="F264" s="14"/>
      <c r="G264" s="15">
        <f>SUM(G265)</f>
        <v>1160.8</v>
      </c>
    </row>
    <row r="265" spans="1:7" s="96" customFormat="1" ht="31.2" x14ac:dyDescent="0.25">
      <c r="A265" s="30" t="s">
        <v>116</v>
      </c>
      <c r="B265" s="13" t="s">
        <v>3</v>
      </c>
      <c r="C265" s="13" t="s">
        <v>58</v>
      </c>
      <c r="D265" s="13" t="s">
        <v>4</v>
      </c>
      <c r="E265" s="13" t="s">
        <v>489</v>
      </c>
      <c r="F265" s="14" t="s">
        <v>111</v>
      </c>
      <c r="G265" s="15">
        <f>951.8+209</f>
        <v>1160.8</v>
      </c>
    </row>
    <row r="266" spans="1:7" s="96" customFormat="1" x14ac:dyDescent="0.25">
      <c r="A266" s="32" t="s">
        <v>226</v>
      </c>
      <c r="B266" s="13" t="s">
        <v>3</v>
      </c>
      <c r="C266" s="13" t="s">
        <v>58</v>
      </c>
      <c r="D266" s="13" t="s">
        <v>4</v>
      </c>
      <c r="E266" s="13" t="s">
        <v>305</v>
      </c>
      <c r="F266" s="14"/>
      <c r="G266" s="15">
        <f>SUM(G267)</f>
        <v>620.9</v>
      </c>
    </row>
    <row r="267" spans="1:7" s="96" customFormat="1" ht="31.2" x14ac:dyDescent="0.25">
      <c r="A267" s="30" t="s">
        <v>116</v>
      </c>
      <c r="B267" s="13" t="s">
        <v>3</v>
      </c>
      <c r="C267" s="13" t="s">
        <v>58</v>
      </c>
      <c r="D267" s="13" t="s">
        <v>4</v>
      </c>
      <c r="E267" s="13" t="s">
        <v>305</v>
      </c>
      <c r="F267" s="14" t="s">
        <v>111</v>
      </c>
      <c r="G267" s="15">
        <f>509.1+111.8</f>
        <v>620.9</v>
      </c>
    </row>
    <row r="268" spans="1:7" s="96" customFormat="1" ht="31.2" x14ac:dyDescent="0.25">
      <c r="A268" s="30" t="s">
        <v>520</v>
      </c>
      <c r="B268" s="13" t="s">
        <v>3</v>
      </c>
      <c r="C268" s="13" t="s">
        <v>58</v>
      </c>
      <c r="D268" s="13" t="s">
        <v>10</v>
      </c>
      <c r="E268" s="13"/>
      <c r="F268" s="14"/>
      <c r="G268" s="15">
        <f>SUM(G269+G272)</f>
        <v>1875.8</v>
      </c>
    </row>
    <row r="269" spans="1:7" s="96" customFormat="1" ht="31.2" x14ac:dyDescent="0.25">
      <c r="A269" s="30" t="s">
        <v>593</v>
      </c>
      <c r="B269" s="13" t="s">
        <v>3</v>
      </c>
      <c r="C269" s="13" t="s">
        <v>58</v>
      </c>
      <c r="D269" s="13" t="s">
        <v>10</v>
      </c>
      <c r="E269" s="13" t="s">
        <v>579</v>
      </c>
      <c r="F269" s="14"/>
      <c r="G269" s="15">
        <f>SUM(G270+G271)</f>
        <v>1836.5</v>
      </c>
    </row>
    <row r="270" spans="1:7" s="96" customFormat="1" ht="31.2" x14ac:dyDescent="0.25">
      <c r="A270" s="30" t="s">
        <v>115</v>
      </c>
      <c r="B270" s="13" t="s">
        <v>3</v>
      </c>
      <c r="C270" s="13" t="s">
        <v>58</v>
      </c>
      <c r="D270" s="13" t="s">
        <v>10</v>
      </c>
      <c r="E270" s="13" t="s">
        <v>579</v>
      </c>
      <c r="F270" s="14" t="s">
        <v>20</v>
      </c>
      <c r="G270" s="15">
        <v>1836.5</v>
      </c>
    </row>
    <row r="271" spans="1:7" s="96" customFormat="1" ht="31.2" x14ac:dyDescent="0.25">
      <c r="A271" s="30" t="s">
        <v>116</v>
      </c>
      <c r="B271" s="13" t="s">
        <v>3</v>
      </c>
      <c r="C271" s="13" t="s">
        <v>58</v>
      </c>
      <c r="D271" s="13" t="s">
        <v>10</v>
      </c>
      <c r="E271" s="13" t="s">
        <v>579</v>
      </c>
      <c r="F271" s="14" t="s">
        <v>111</v>
      </c>
      <c r="G271" s="15">
        <f>110.2+1726.3-1836.5</f>
        <v>0</v>
      </c>
    </row>
    <row r="272" spans="1:7" s="96" customFormat="1" ht="31.2" x14ac:dyDescent="0.25">
      <c r="A272" s="30" t="s">
        <v>593</v>
      </c>
      <c r="B272" s="13" t="s">
        <v>3</v>
      </c>
      <c r="C272" s="13" t="s">
        <v>58</v>
      </c>
      <c r="D272" s="13" t="s">
        <v>10</v>
      </c>
      <c r="E272" s="13" t="s">
        <v>580</v>
      </c>
      <c r="F272" s="14"/>
      <c r="G272" s="15">
        <f>SUM(G273+G274)</f>
        <v>39.299999999999997</v>
      </c>
    </row>
    <row r="273" spans="1:7" s="96" customFormat="1" ht="31.2" x14ac:dyDescent="0.25">
      <c r="A273" s="30" t="s">
        <v>115</v>
      </c>
      <c r="B273" s="13" t="s">
        <v>3</v>
      </c>
      <c r="C273" s="13" t="s">
        <v>58</v>
      </c>
      <c r="D273" s="13" t="s">
        <v>10</v>
      </c>
      <c r="E273" s="13" t="s">
        <v>580</v>
      </c>
      <c r="F273" s="14" t="s">
        <v>20</v>
      </c>
      <c r="G273" s="15">
        <f>39.3</f>
        <v>39.299999999999997</v>
      </c>
    </row>
    <row r="274" spans="1:7" s="96" customFormat="1" ht="31.2" x14ac:dyDescent="0.25">
      <c r="A274" s="30" t="s">
        <v>116</v>
      </c>
      <c r="B274" s="13" t="s">
        <v>3</v>
      </c>
      <c r="C274" s="13" t="s">
        <v>58</v>
      </c>
      <c r="D274" s="13" t="s">
        <v>10</v>
      </c>
      <c r="E274" s="13" t="s">
        <v>580</v>
      </c>
      <c r="F274" s="14" t="s">
        <v>111</v>
      </c>
      <c r="G274" s="15">
        <f>39.3-39.3</f>
        <v>0</v>
      </c>
    </row>
    <row r="275" spans="1:7" s="96" customFormat="1" x14ac:dyDescent="0.25">
      <c r="A275" s="31" t="s">
        <v>540</v>
      </c>
      <c r="B275" s="13" t="s">
        <v>3</v>
      </c>
      <c r="C275" s="13" t="s">
        <v>58</v>
      </c>
      <c r="D275" s="13" t="s">
        <v>538</v>
      </c>
      <c r="E275" s="13"/>
      <c r="F275" s="14"/>
      <c r="G275" s="15">
        <f>SUM(G276)</f>
        <v>0</v>
      </c>
    </row>
    <row r="276" spans="1:7" s="96" customFormat="1" x14ac:dyDescent="0.25">
      <c r="A276" s="30" t="s">
        <v>541</v>
      </c>
      <c r="B276" s="13" t="s">
        <v>3</v>
      </c>
      <c r="C276" s="13" t="s">
        <v>58</v>
      </c>
      <c r="D276" s="13" t="s">
        <v>538</v>
      </c>
      <c r="E276" s="13" t="s">
        <v>539</v>
      </c>
      <c r="F276" s="14"/>
      <c r="G276" s="15">
        <f>SUM(G277)</f>
        <v>0</v>
      </c>
    </row>
    <row r="277" spans="1:7" s="96" customFormat="1" ht="31.2" x14ac:dyDescent="0.25">
      <c r="A277" s="29" t="s">
        <v>116</v>
      </c>
      <c r="B277" s="13" t="s">
        <v>3</v>
      </c>
      <c r="C277" s="13" t="s">
        <v>58</v>
      </c>
      <c r="D277" s="13" t="s">
        <v>538</v>
      </c>
      <c r="E277" s="13" t="s">
        <v>539</v>
      </c>
      <c r="F277" s="14" t="s">
        <v>111</v>
      </c>
      <c r="G277" s="15">
        <f>8000+1756.1+1755.8-11511.9</f>
        <v>0</v>
      </c>
    </row>
    <row r="278" spans="1:7" s="96" customFormat="1" x14ac:dyDescent="0.25">
      <c r="A278" s="73" t="s">
        <v>652</v>
      </c>
      <c r="B278" s="46" t="s">
        <v>3</v>
      </c>
      <c r="C278" s="46" t="s">
        <v>58</v>
      </c>
      <c r="D278" s="46" t="s">
        <v>651</v>
      </c>
      <c r="E278" s="46"/>
      <c r="F278" s="72"/>
      <c r="G278" s="60"/>
    </row>
    <row r="279" spans="1:7" s="96" customFormat="1" x14ac:dyDescent="0.25">
      <c r="A279" s="75" t="s">
        <v>541</v>
      </c>
      <c r="B279" s="46" t="s">
        <v>3</v>
      </c>
      <c r="C279" s="46" t="s">
        <v>58</v>
      </c>
      <c r="D279" s="46" t="s">
        <v>651</v>
      </c>
      <c r="E279" s="46" t="s">
        <v>539</v>
      </c>
      <c r="F279" s="72"/>
      <c r="G279" s="60">
        <f>G280</f>
        <v>9756.1</v>
      </c>
    </row>
    <row r="280" spans="1:7" s="96" customFormat="1" ht="31.2" x14ac:dyDescent="0.25">
      <c r="A280" s="73" t="s">
        <v>116</v>
      </c>
      <c r="B280" s="46" t="s">
        <v>3</v>
      </c>
      <c r="C280" s="46" t="s">
        <v>58</v>
      </c>
      <c r="D280" s="46" t="s">
        <v>651</v>
      </c>
      <c r="E280" s="46" t="s">
        <v>539</v>
      </c>
      <c r="F280" s="72" t="s">
        <v>111</v>
      </c>
      <c r="G280" s="60">
        <v>9756.1</v>
      </c>
    </row>
    <row r="281" spans="1:7" s="96" customFormat="1" ht="21" customHeight="1" x14ac:dyDescent="0.25">
      <c r="A281" s="75" t="s">
        <v>654</v>
      </c>
      <c r="B281" s="46" t="s">
        <v>3</v>
      </c>
      <c r="C281" s="46" t="s">
        <v>58</v>
      </c>
      <c r="D281" s="46" t="s">
        <v>651</v>
      </c>
      <c r="E281" s="46" t="s">
        <v>653</v>
      </c>
      <c r="F281" s="72"/>
      <c r="G281" s="60">
        <f>G282</f>
        <v>1755.8</v>
      </c>
    </row>
    <row r="282" spans="1:7" s="96" customFormat="1" ht="31.2" x14ac:dyDescent="0.25">
      <c r="A282" s="73" t="s">
        <v>116</v>
      </c>
      <c r="B282" s="46" t="s">
        <v>3</v>
      </c>
      <c r="C282" s="46" t="s">
        <v>58</v>
      </c>
      <c r="D282" s="46" t="s">
        <v>651</v>
      </c>
      <c r="E282" s="46" t="s">
        <v>653</v>
      </c>
      <c r="F282" s="72" t="s">
        <v>111</v>
      </c>
      <c r="G282" s="60">
        <v>1755.8</v>
      </c>
    </row>
    <row r="283" spans="1:7" s="96" customFormat="1" x14ac:dyDescent="0.25">
      <c r="A283" s="31" t="s">
        <v>371</v>
      </c>
      <c r="B283" s="13" t="s">
        <v>4</v>
      </c>
      <c r="C283" s="13"/>
      <c r="D283" s="13"/>
      <c r="E283" s="13"/>
      <c r="F283" s="14"/>
      <c r="G283" s="15">
        <f>SUM(G284+G297+G324)</f>
        <v>278444.49999999994</v>
      </c>
    </row>
    <row r="284" spans="1:7" s="96" customFormat="1" ht="46.8" x14ac:dyDescent="0.25">
      <c r="A284" s="31" t="s">
        <v>154</v>
      </c>
      <c r="B284" s="13" t="s">
        <v>4</v>
      </c>
      <c r="C284" s="13" t="s">
        <v>58</v>
      </c>
      <c r="D284" s="13"/>
      <c r="E284" s="13"/>
      <c r="F284" s="14"/>
      <c r="G284" s="15">
        <f>SUM(G285+G294)</f>
        <v>7200.7999999999993</v>
      </c>
    </row>
    <row r="285" spans="1:7" s="96" customFormat="1" ht="46.8" x14ac:dyDescent="0.25">
      <c r="A285" s="31" t="s">
        <v>372</v>
      </c>
      <c r="B285" s="13" t="s">
        <v>4</v>
      </c>
      <c r="C285" s="13" t="s">
        <v>58</v>
      </c>
      <c r="D285" s="13" t="s">
        <v>0</v>
      </c>
      <c r="E285" s="13"/>
      <c r="F285" s="14"/>
      <c r="G285" s="15">
        <f>SUM(G286+G290+G292)</f>
        <v>7200.7999999999993</v>
      </c>
    </row>
    <row r="286" spans="1:7" s="96" customFormat="1" x14ac:dyDescent="0.25">
      <c r="A286" s="31" t="s">
        <v>26</v>
      </c>
      <c r="B286" s="13" t="s">
        <v>4</v>
      </c>
      <c r="C286" s="13" t="s">
        <v>58</v>
      </c>
      <c r="D286" s="13" t="s">
        <v>0</v>
      </c>
      <c r="E286" s="13" t="s">
        <v>41</v>
      </c>
      <c r="F286" s="14"/>
      <c r="G286" s="15">
        <f>SUM(G287:G289)</f>
        <v>7171.6999999999989</v>
      </c>
    </row>
    <row r="287" spans="1:7" s="96" customFormat="1" ht="46.8" x14ac:dyDescent="0.25">
      <c r="A287" s="29" t="s">
        <v>114</v>
      </c>
      <c r="B287" s="13" t="s">
        <v>4</v>
      </c>
      <c r="C287" s="13" t="s">
        <v>58</v>
      </c>
      <c r="D287" s="13" t="s">
        <v>0</v>
      </c>
      <c r="E287" s="13" t="s">
        <v>41</v>
      </c>
      <c r="F287" s="14" t="s">
        <v>19</v>
      </c>
      <c r="G287" s="15">
        <f>6850.4-0.1+0.1</f>
        <v>6850.4</v>
      </c>
    </row>
    <row r="288" spans="1:7" s="96" customFormat="1" ht="31.2" x14ac:dyDescent="0.25">
      <c r="A288" s="29" t="s">
        <v>115</v>
      </c>
      <c r="B288" s="13" t="s">
        <v>4</v>
      </c>
      <c r="C288" s="13" t="s">
        <v>58</v>
      </c>
      <c r="D288" s="13" t="s">
        <v>0</v>
      </c>
      <c r="E288" s="13" t="s">
        <v>41</v>
      </c>
      <c r="F288" s="14" t="s">
        <v>20</v>
      </c>
      <c r="G288" s="15">
        <f>320.4</f>
        <v>320.39999999999998</v>
      </c>
    </row>
    <row r="289" spans="1:7" s="96" customFormat="1" x14ac:dyDescent="0.25">
      <c r="A289" s="29" t="s">
        <v>21</v>
      </c>
      <c r="B289" s="13" t="s">
        <v>4</v>
      </c>
      <c r="C289" s="13" t="s">
        <v>58</v>
      </c>
      <c r="D289" s="13" t="s">
        <v>0</v>
      </c>
      <c r="E289" s="13" t="s">
        <v>41</v>
      </c>
      <c r="F289" s="14" t="s">
        <v>22</v>
      </c>
      <c r="G289" s="15">
        <f>0.8+0.1</f>
        <v>0.9</v>
      </c>
    </row>
    <row r="290" spans="1:7" s="96" customFormat="1" x14ac:dyDescent="0.25">
      <c r="A290" s="29" t="s">
        <v>228</v>
      </c>
      <c r="B290" s="13" t="s">
        <v>4</v>
      </c>
      <c r="C290" s="13" t="s">
        <v>58</v>
      </c>
      <c r="D290" s="13" t="s">
        <v>0</v>
      </c>
      <c r="E290" s="13" t="s">
        <v>229</v>
      </c>
      <c r="F290" s="14"/>
      <c r="G290" s="15">
        <f>SUM(G291)</f>
        <v>20.100000000000001</v>
      </c>
    </row>
    <row r="291" spans="1:7" s="96" customFormat="1" ht="31.2" x14ac:dyDescent="0.25">
      <c r="A291" s="29" t="s">
        <v>115</v>
      </c>
      <c r="B291" s="13" t="s">
        <v>4</v>
      </c>
      <c r="C291" s="13" t="s">
        <v>58</v>
      </c>
      <c r="D291" s="13" t="s">
        <v>0</v>
      </c>
      <c r="E291" s="13" t="s">
        <v>229</v>
      </c>
      <c r="F291" s="14" t="s">
        <v>20</v>
      </c>
      <c r="G291" s="15">
        <v>20.100000000000001</v>
      </c>
    </row>
    <row r="292" spans="1:7" s="96" customFormat="1" x14ac:dyDescent="0.25">
      <c r="A292" s="29" t="s">
        <v>234</v>
      </c>
      <c r="B292" s="13" t="s">
        <v>4</v>
      </c>
      <c r="C292" s="13" t="s">
        <v>58</v>
      </c>
      <c r="D292" s="13" t="s">
        <v>0</v>
      </c>
      <c r="E292" s="13" t="s">
        <v>235</v>
      </c>
      <c r="F292" s="14"/>
      <c r="G292" s="15">
        <f>SUM(G293)</f>
        <v>9</v>
      </c>
    </row>
    <row r="293" spans="1:7" s="96" customFormat="1" ht="31.2" x14ac:dyDescent="0.25">
      <c r="A293" s="29" t="s">
        <v>115</v>
      </c>
      <c r="B293" s="13" t="s">
        <v>4</v>
      </c>
      <c r="C293" s="13" t="s">
        <v>58</v>
      </c>
      <c r="D293" s="13" t="s">
        <v>0</v>
      </c>
      <c r="E293" s="13" t="s">
        <v>235</v>
      </c>
      <c r="F293" s="14" t="s">
        <v>20</v>
      </c>
      <c r="G293" s="15">
        <v>9</v>
      </c>
    </row>
    <row r="294" spans="1:7" s="96" customFormat="1" x14ac:dyDescent="0.25">
      <c r="A294" s="31" t="s">
        <v>283</v>
      </c>
      <c r="B294" s="13" t="s">
        <v>4</v>
      </c>
      <c r="C294" s="13" t="s">
        <v>58</v>
      </c>
      <c r="D294" s="13" t="s">
        <v>1</v>
      </c>
      <c r="E294" s="13"/>
      <c r="F294" s="14"/>
      <c r="G294" s="15">
        <f>SUM(G295)</f>
        <v>0</v>
      </c>
    </row>
    <row r="295" spans="1:7" s="96" customFormat="1" x14ac:dyDescent="0.25">
      <c r="A295" s="31" t="s">
        <v>280</v>
      </c>
      <c r="B295" s="13" t="s">
        <v>4</v>
      </c>
      <c r="C295" s="13" t="s">
        <v>58</v>
      </c>
      <c r="D295" s="13" t="s">
        <v>1</v>
      </c>
      <c r="E295" s="13" t="s">
        <v>281</v>
      </c>
      <c r="F295" s="14"/>
      <c r="G295" s="15">
        <f>SUM(G296)</f>
        <v>0</v>
      </c>
    </row>
    <row r="296" spans="1:7" s="96" customFormat="1" ht="33" customHeight="1" x14ac:dyDescent="0.25">
      <c r="A296" s="30" t="s">
        <v>116</v>
      </c>
      <c r="B296" s="13" t="s">
        <v>4</v>
      </c>
      <c r="C296" s="13" t="s">
        <v>58</v>
      </c>
      <c r="D296" s="13" t="s">
        <v>1</v>
      </c>
      <c r="E296" s="13" t="s">
        <v>281</v>
      </c>
      <c r="F296" s="14" t="s">
        <v>111</v>
      </c>
      <c r="G296" s="15">
        <f>465-465</f>
        <v>0</v>
      </c>
    </row>
    <row r="297" spans="1:7" s="96" customFormat="1" x14ac:dyDescent="0.25">
      <c r="A297" s="31" t="s">
        <v>155</v>
      </c>
      <c r="B297" s="13" t="s">
        <v>4</v>
      </c>
      <c r="C297" s="13" t="s">
        <v>93</v>
      </c>
      <c r="D297" s="13"/>
      <c r="E297" s="13"/>
      <c r="F297" s="14"/>
      <c r="G297" s="15">
        <f>SUM(G298)</f>
        <v>267993.69999999995</v>
      </c>
    </row>
    <row r="298" spans="1:7" s="96" customFormat="1" ht="33.75" customHeight="1" x14ac:dyDescent="0.25">
      <c r="A298" s="29" t="s">
        <v>94</v>
      </c>
      <c r="B298" s="13" t="s">
        <v>4</v>
      </c>
      <c r="C298" s="13" t="s">
        <v>93</v>
      </c>
      <c r="D298" s="13" t="s">
        <v>0</v>
      </c>
      <c r="E298" s="13"/>
      <c r="F298" s="14"/>
      <c r="G298" s="15">
        <f>SUM(G299+G316+G306+G320+G322+G304+G318+G314+G312+G310)</f>
        <v>267993.69999999995</v>
      </c>
    </row>
    <row r="299" spans="1:7" s="96" customFormat="1" ht="46.8" x14ac:dyDescent="0.25">
      <c r="A299" s="31" t="s">
        <v>106</v>
      </c>
      <c r="B299" s="13" t="s">
        <v>4</v>
      </c>
      <c r="C299" s="13" t="s">
        <v>93</v>
      </c>
      <c r="D299" s="13" t="s">
        <v>0</v>
      </c>
      <c r="E299" s="13" t="s">
        <v>51</v>
      </c>
      <c r="F299" s="14"/>
      <c r="G299" s="15">
        <f>SUM(G300:G303)</f>
        <v>238085.69999999998</v>
      </c>
    </row>
    <row r="300" spans="1:7" s="96" customFormat="1" ht="46.8" x14ac:dyDescent="0.25">
      <c r="A300" s="29" t="s">
        <v>114</v>
      </c>
      <c r="B300" s="13" t="s">
        <v>4</v>
      </c>
      <c r="C300" s="13" t="s">
        <v>93</v>
      </c>
      <c r="D300" s="13" t="s">
        <v>0</v>
      </c>
      <c r="E300" s="13" t="s">
        <v>51</v>
      </c>
      <c r="F300" s="14" t="s">
        <v>19</v>
      </c>
      <c r="G300" s="15">
        <f>30470.6-0.3+0.3-0.1</f>
        <v>30470.5</v>
      </c>
    </row>
    <row r="301" spans="1:7" s="96" customFormat="1" ht="31.2" x14ac:dyDescent="0.25">
      <c r="A301" s="29" t="s">
        <v>115</v>
      </c>
      <c r="B301" s="13" t="s">
        <v>4</v>
      </c>
      <c r="C301" s="13" t="s">
        <v>93</v>
      </c>
      <c r="D301" s="13" t="s">
        <v>0</v>
      </c>
      <c r="E301" s="13" t="s">
        <v>51</v>
      </c>
      <c r="F301" s="14" t="s">
        <v>20</v>
      </c>
      <c r="G301" s="15">
        <f>1178.6+34.8+448.8+350+0.1</f>
        <v>2012.2999999999997</v>
      </c>
    </row>
    <row r="302" spans="1:7" s="96" customFormat="1" ht="39" customHeight="1" x14ac:dyDescent="0.25">
      <c r="A302" s="30" t="s">
        <v>116</v>
      </c>
      <c r="B302" s="13" t="s">
        <v>4</v>
      </c>
      <c r="C302" s="13" t="s">
        <v>93</v>
      </c>
      <c r="D302" s="13" t="s">
        <v>0</v>
      </c>
      <c r="E302" s="13" t="s">
        <v>51</v>
      </c>
      <c r="F302" s="14" t="s">
        <v>111</v>
      </c>
      <c r="G302" s="15">
        <f>208297.4-2183.4-512.4</f>
        <v>205601.6</v>
      </c>
    </row>
    <row r="303" spans="1:7" s="96" customFormat="1" x14ac:dyDescent="0.25">
      <c r="A303" s="29" t="s">
        <v>21</v>
      </c>
      <c r="B303" s="13" t="s">
        <v>4</v>
      </c>
      <c r="C303" s="13" t="s">
        <v>93</v>
      </c>
      <c r="D303" s="13" t="s">
        <v>0</v>
      </c>
      <c r="E303" s="13" t="s">
        <v>51</v>
      </c>
      <c r="F303" s="14" t="s">
        <v>22</v>
      </c>
      <c r="G303" s="15">
        <f>1+0.3</f>
        <v>1.3</v>
      </c>
    </row>
    <row r="304" spans="1:7" s="96" customFormat="1" x14ac:dyDescent="0.25">
      <c r="A304" s="29" t="s">
        <v>280</v>
      </c>
      <c r="B304" s="13" t="s">
        <v>4</v>
      </c>
      <c r="C304" s="13" t="s">
        <v>93</v>
      </c>
      <c r="D304" s="13" t="s">
        <v>0</v>
      </c>
      <c r="E304" s="13" t="s">
        <v>281</v>
      </c>
      <c r="F304" s="14"/>
      <c r="G304" s="15">
        <f>SUM(G305)</f>
        <v>0</v>
      </c>
    </row>
    <row r="305" spans="1:8" s="96" customFormat="1" ht="31.2" x14ac:dyDescent="0.25">
      <c r="A305" s="30" t="s">
        <v>116</v>
      </c>
      <c r="B305" s="13" t="s">
        <v>4</v>
      </c>
      <c r="C305" s="13" t="s">
        <v>93</v>
      </c>
      <c r="D305" s="13" t="s">
        <v>0</v>
      </c>
      <c r="E305" s="13" t="s">
        <v>281</v>
      </c>
      <c r="F305" s="14" t="s">
        <v>111</v>
      </c>
      <c r="G305" s="15"/>
    </row>
    <row r="306" spans="1:8" s="96" customFormat="1" ht="37.200000000000003" customHeight="1" x14ac:dyDescent="0.25">
      <c r="A306" s="31" t="s">
        <v>373</v>
      </c>
      <c r="B306" s="13" t="s">
        <v>4</v>
      </c>
      <c r="C306" s="13" t="s">
        <v>93</v>
      </c>
      <c r="D306" s="13" t="s">
        <v>0</v>
      </c>
      <c r="E306" s="13" t="s">
        <v>131</v>
      </c>
      <c r="F306" s="14"/>
      <c r="G306" s="15">
        <f>G307+G309+G308</f>
        <v>1766</v>
      </c>
    </row>
    <row r="307" spans="1:8" s="96" customFormat="1" ht="31.2" x14ac:dyDescent="0.25">
      <c r="A307" s="29" t="s">
        <v>115</v>
      </c>
      <c r="B307" s="13" t="s">
        <v>4</v>
      </c>
      <c r="C307" s="13" t="s">
        <v>93</v>
      </c>
      <c r="D307" s="13" t="s">
        <v>0</v>
      </c>
      <c r="E307" s="13" t="s">
        <v>131</v>
      </c>
      <c r="F307" s="14" t="s">
        <v>20</v>
      </c>
      <c r="G307" s="15">
        <v>750</v>
      </c>
    </row>
    <row r="308" spans="1:8" s="96" customFormat="1" x14ac:dyDescent="0.25">
      <c r="A308" s="29" t="s">
        <v>117</v>
      </c>
      <c r="B308" s="13" t="s">
        <v>4</v>
      </c>
      <c r="C308" s="13" t="s">
        <v>93</v>
      </c>
      <c r="D308" s="13" t="s">
        <v>0</v>
      </c>
      <c r="E308" s="13" t="s">
        <v>131</v>
      </c>
      <c r="F308" s="14" t="s">
        <v>109</v>
      </c>
      <c r="G308" s="15">
        <v>1016</v>
      </c>
    </row>
    <row r="309" spans="1:8" s="96" customFormat="1" ht="31.2" x14ac:dyDescent="0.25">
      <c r="A309" s="30" t="s">
        <v>116</v>
      </c>
      <c r="B309" s="13" t="s">
        <v>4</v>
      </c>
      <c r="C309" s="13" t="s">
        <v>93</v>
      </c>
      <c r="D309" s="13" t="s">
        <v>0</v>
      </c>
      <c r="E309" s="13" t="s">
        <v>131</v>
      </c>
      <c r="F309" s="14" t="s">
        <v>111</v>
      </c>
      <c r="G309" s="15"/>
    </row>
    <row r="310" spans="1:8" s="96" customFormat="1" ht="31.2" x14ac:dyDescent="0.25">
      <c r="A310" s="30" t="s">
        <v>638</v>
      </c>
      <c r="B310" s="13" t="s">
        <v>4</v>
      </c>
      <c r="C310" s="13" t="s">
        <v>93</v>
      </c>
      <c r="D310" s="13" t="s">
        <v>0</v>
      </c>
      <c r="E310" s="13" t="s">
        <v>95</v>
      </c>
      <c r="F310" s="14"/>
      <c r="G310" s="15">
        <f>G311</f>
        <v>136</v>
      </c>
      <c r="H310" s="96" t="s">
        <v>639</v>
      </c>
    </row>
    <row r="311" spans="1:8" s="96" customFormat="1" ht="31.2" x14ac:dyDescent="0.25">
      <c r="A311" s="30" t="s">
        <v>116</v>
      </c>
      <c r="B311" s="13" t="s">
        <v>4</v>
      </c>
      <c r="C311" s="13" t="s">
        <v>93</v>
      </c>
      <c r="D311" s="13" t="s">
        <v>0</v>
      </c>
      <c r="E311" s="13" t="s">
        <v>95</v>
      </c>
      <c r="F311" s="14" t="s">
        <v>111</v>
      </c>
      <c r="G311" s="15">
        <v>136</v>
      </c>
    </row>
    <row r="312" spans="1:8" s="96" customFormat="1" x14ac:dyDescent="0.25">
      <c r="A312" s="30" t="s">
        <v>293</v>
      </c>
      <c r="B312" s="13" t="s">
        <v>4</v>
      </c>
      <c r="C312" s="13" t="s">
        <v>93</v>
      </c>
      <c r="D312" s="13" t="s">
        <v>0</v>
      </c>
      <c r="E312" s="13" t="s">
        <v>292</v>
      </c>
      <c r="F312" s="14"/>
      <c r="G312" s="15">
        <f>G313</f>
        <v>1056</v>
      </c>
    </row>
    <row r="313" spans="1:8" s="96" customFormat="1" ht="31.2" x14ac:dyDescent="0.25">
      <c r="A313" s="30" t="s">
        <v>116</v>
      </c>
      <c r="B313" s="13" t="s">
        <v>4</v>
      </c>
      <c r="C313" s="13" t="s">
        <v>93</v>
      </c>
      <c r="D313" s="13" t="s">
        <v>0</v>
      </c>
      <c r="E313" s="13" t="s">
        <v>292</v>
      </c>
      <c r="F313" s="14" t="s">
        <v>111</v>
      </c>
      <c r="G313" s="15">
        <v>1056</v>
      </c>
    </row>
    <row r="314" spans="1:8" s="96" customFormat="1" ht="31.2" x14ac:dyDescent="0.25">
      <c r="A314" s="30" t="s">
        <v>602</v>
      </c>
      <c r="B314" s="13" t="s">
        <v>4</v>
      </c>
      <c r="C314" s="13" t="s">
        <v>93</v>
      </c>
      <c r="D314" s="13" t="s">
        <v>0</v>
      </c>
      <c r="E314" s="13" t="s">
        <v>144</v>
      </c>
      <c r="F314" s="14"/>
      <c r="G314" s="15">
        <f>G315</f>
        <v>14632.099999999999</v>
      </c>
    </row>
    <row r="315" spans="1:8" s="96" customFormat="1" ht="31.2" x14ac:dyDescent="0.25">
      <c r="A315" s="30" t="s">
        <v>116</v>
      </c>
      <c r="B315" s="13" t="s">
        <v>4</v>
      </c>
      <c r="C315" s="13" t="s">
        <v>93</v>
      </c>
      <c r="D315" s="13" t="s">
        <v>0</v>
      </c>
      <c r="E315" s="13" t="s">
        <v>144</v>
      </c>
      <c r="F315" s="14" t="s">
        <v>111</v>
      </c>
      <c r="G315" s="15">
        <f>14717.4+512.4-597.7</f>
        <v>14632.099999999999</v>
      </c>
    </row>
    <row r="316" spans="1:8" s="96" customFormat="1" ht="93.6" x14ac:dyDescent="0.25">
      <c r="A316" s="37" t="s">
        <v>217</v>
      </c>
      <c r="B316" s="13" t="s">
        <v>4</v>
      </c>
      <c r="C316" s="13" t="s">
        <v>93</v>
      </c>
      <c r="D316" s="13" t="s">
        <v>0</v>
      </c>
      <c r="E316" s="13" t="s">
        <v>96</v>
      </c>
      <c r="F316" s="14"/>
      <c r="G316" s="15">
        <f>SUM(G317:G317)</f>
        <v>687.5</v>
      </c>
    </row>
    <row r="317" spans="1:8" s="96" customFormat="1" ht="31.2" x14ac:dyDescent="0.25">
      <c r="A317" s="30" t="s">
        <v>116</v>
      </c>
      <c r="B317" s="13" t="s">
        <v>4</v>
      </c>
      <c r="C317" s="13" t="s">
        <v>93</v>
      </c>
      <c r="D317" s="13" t="s">
        <v>0</v>
      </c>
      <c r="E317" s="13" t="s">
        <v>96</v>
      </c>
      <c r="F317" s="14" t="s">
        <v>111</v>
      </c>
      <c r="G317" s="15">
        <v>687.5</v>
      </c>
    </row>
    <row r="318" spans="1:8" s="96" customFormat="1" ht="31.2" x14ac:dyDescent="0.25">
      <c r="A318" s="29" t="s">
        <v>193</v>
      </c>
      <c r="B318" s="13" t="s">
        <v>4</v>
      </c>
      <c r="C318" s="13" t="s">
        <v>93</v>
      </c>
      <c r="D318" s="13" t="s">
        <v>0</v>
      </c>
      <c r="E318" s="13" t="s">
        <v>259</v>
      </c>
      <c r="F318" s="14"/>
      <c r="G318" s="15">
        <f>G319</f>
        <v>9492.4</v>
      </c>
    </row>
    <row r="319" spans="1:8" s="96" customFormat="1" ht="33.6" customHeight="1" x14ac:dyDescent="0.25">
      <c r="A319" s="30" t="s">
        <v>116</v>
      </c>
      <c r="B319" s="13" t="s">
        <v>4</v>
      </c>
      <c r="C319" s="13" t="s">
        <v>93</v>
      </c>
      <c r="D319" s="13" t="s">
        <v>0</v>
      </c>
      <c r="E319" s="13" t="s">
        <v>259</v>
      </c>
      <c r="F319" s="14" t="s">
        <v>111</v>
      </c>
      <c r="G319" s="15">
        <f>9492.4</f>
        <v>9492.4</v>
      </c>
    </row>
    <row r="320" spans="1:8" s="96" customFormat="1" ht="31.2" x14ac:dyDescent="0.25">
      <c r="A320" s="29" t="s">
        <v>200</v>
      </c>
      <c r="B320" s="13" t="s">
        <v>4</v>
      </c>
      <c r="C320" s="13" t="s">
        <v>93</v>
      </c>
      <c r="D320" s="13" t="s">
        <v>0</v>
      </c>
      <c r="E320" s="13" t="s">
        <v>198</v>
      </c>
      <c r="F320" s="14"/>
      <c r="G320" s="15">
        <f>G321</f>
        <v>2138</v>
      </c>
    </row>
    <row r="321" spans="1:7" s="96" customFormat="1" ht="31.2" x14ac:dyDescent="0.25">
      <c r="A321" s="30" t="s">
        <v>116</v>
      </c>
      <c r="B321" s="13" t="s">
        <v>4</v>
      </c>
      <c r="C321" s="13" t="s">
        <v>93</v>
      </c>
      <c r="D321" s="13" t="s">
        <v>0</v>
      </c>
      <c r="E321" s="13" t="s">
        <v>198</v>
      </c>
      <c r="F321" s="14" t="s">
        <v>111</v>
      </c>
      <c r="G321" s="15">
        <f>2137.9+0.1</f>
        <v>2138</v>
      </c>
    </row>
    <row r="322" spans="1:7" s="96" customFormat="1" ht="96.75" customHeight="1" x14ac:dyDescent="0.25">
      <c r="A322" s="29" t="s">
        <v>356</v>
      </c>
      <c r="B322" s="13" t="s">
        <v>4</v>
      </c>
      <c r="C322" s="13" t="s">
        <v>93</v>
      </c>
      <c r="D322" s="13" t="s">
        <v>0</v>
      </c>
      <c r="E322" s="13" t="s">
        <v>258</v>
      </c>
      <c r="F322" s="14"/>
      <c r="G322" s="15">
        <f>G323</f>
        <v>0</v>
      </c>
    </row>
    <row r="323" spans="1:7" s="96" customFormat="1" ht="31.2" x14ac:dyDescent="0.25">
      <c r="A323" s="30" t="s">
        <v>116</v>
      </c>
      <c r="B323" s="13" t="s">
        <v>4</v>
      </c>
      <c r="C323" s="13" t="s">
        <v>93</v>
      </c>
      <c r="D323" s="13" t="s">
        <v>0</v>
      </c>
      <c r="E323" s="13" t="s">
        <v>258</v>
      </c>
      <c r="F323" s="14" t="s">
        <v>111</v>
      </c>
      <c r="G323" s="15"/>
    </row>
    <row r="324" spans="1:7" s="96" customFormat="1" x14ac:dyDescent="0.25">
      <c r="A324" s="31" t="s">
        <v>157</v>
      </c>
      <c r="B324" s="13" t="s">
        <v>4</v>
      </c>
      <c r="C324" s="13" t="s">
        <v>101</v>
      </c>
      <c r="D324" s="13"/>
      <c r="E324" s="13"/>
      <c r="F324" s="14"/>
      <c r="G324" s="15">
        <f>G325</f>
        <v>3250</v>
      </c>
    </row>
    <row r="325" spans="1:7" s="96" customFormat="1" ht="46.8" x14ac:dyDescent="0.25">
      <c r="A325" s="31" t="s">
        <v>133</v>
      </c>
      <c r="B325" s="13" t="s">
        <v>4</v>
      </c>
      <c r="C325" s="13" t="s">
        <v>101</v>
      </c>
      <c r="D325" s="13" t="s">
        <v>0</v>
      </c>
      <c r="E325" s="13"/>
      <c r="F325" s="14"/>
      <c r="G325" s="15">
        <f>G326</f>
        <v>3250</v>
      </c>
    </row>
    <row r="326" spans="1:7" s="96" customFormat="1" ht="31.2" x14ac:dyDescent="0.25">
      <c r="A326" s="31" t="s">
        <v>374</v>
      </c>
      <c r="B326" s="13" t="s">
        <v>4</v>
      </c>
      <c r="C326" s="13" t="s">
        <v>101</v>
      </c>
      <c r="D326" s="13" t="s">
        <v>0</v>
      </c>
      <c r="E326" s="13" t="s">
        <v>132</v>
      </c>
      <c r="F326" s="14"/>
      <c r="G326" s="15">
        <f>G327+G328+G329+G330</f>
        <v>3250</v>
      </c>
    </row>
    <row r="327" spans="1:7" s="96" customFormat="1" ht="46.8" x14ac:dyDescent="0.25">
      <c r="A327" s="29" t="s">
        <v>114</v>
      </c>
      <c r="B327" s="13" t="s">
        <v>4</v>
      </c>
      <c r="C327" s="13" t="s">
        <v>101</v>
      </c>
      <c r="D327" s="13" t="s">
        <v>0</v>
      </c>
      <c r="E327" s="13" t="s">
        <v>132</v>
      </c>
      <c r="F327" s="14" t="s">
        <v>19</v>
      </c>
      <c r="G327" s="15"/>
    </row>
    <row r="328" spans="1:7" s="96" customFormat="1" ht="31.2" x14ac:dyDescent="0.25">
      <c r="A328" s="29" t="s">
        <v>115</v>
      </c>
      <c r="B328" s="13" t="s">
        <v>4</v>
      </c>
      <c r="C328" s="13" t="s">
        <v>101</v>
      </c>
      <c r="D328" s="13" t="s">
        <v>0</v>
      </c>
      <c r="E328" s="13" t="s">
        <v>132</v>
      </c>
      <c r="F328" s="14" t="s">
        <v>20</v>
      </c>
      <c r="G328" s="15">
        <f>2700-500</f>
        <v>2200</v>
      </c>
    </row>
    <row r="329" spans="1:7" s="96" customFormat="1" x14ac:dyDescent="0.25">
      <c r="A329" s="29" t="s">
        <v>117</v>
      </c>
      <c r="B329" s="13" t="s">
        <v>4</v>
      </c>
      <c r="C329" s="13" t="s">
        <v>101</v>
      </c>
      <c r="D329" s="13" t="s">
        <v>0</v>
      </c>
      <c r="E329" s="13" t="s">
        <v>132</v>
      </c>
      <c r="F329" s="14" t="s">
        <v>109</v>
      </c>
      <c r="G329" s="15">
        <v>500</v>
      </c>
    </row>
    <row r="330" spans="1:7" s="96" customFormat="1" ht="31.2" x14ac:dyDescent="0.25">
      <c r="A330" s="30" t="s">
        <v>116</v>
      </c>
      <c r="B330" s="13" t="s">
        <v>4</v>
      </c>
      <c r="C330" s="13" t="s">
        <v>101</v>
      </c>
      <c r="D330" s="13" t="s">
        <v>0</v>
      </c>
      <c r="E330" s="13" t="s">
        <v>132</v>
      </c>
      <c r="F330" s="14" t="s">
        <v>111</v>
      </c>
      <c r="G330" s="15">
        <v>550</v>
      </c>
    </row>
    <row r="331" spans="1:7" s="96" customFormat="1" x14ac:dyDescent="0.25">
      <c r="A331" s="31" t="s">
        <v>375</v>
      </c>
      <c r="B331" s="13" t="s">
        <v>10</v>
      </c>
      <c r="C331" s="13"/>
      <c r="D331" s="13"/>
      <c r="E331" s="13"/>
      <c r="F331" s="13"/>
      <c r="G331" s="15">
        <f>SUM(G332+G369+G390+G396)</f>
        <v>577923.39999999991</v>
      </c>
    </row>
    <row r="332" spans="1:7" s="96" customFormat="1" ht="31.2" x14ac:dyDescent="0.25">
      <c r="A332" s="36" t="s">
        <v>376</v>
      </c>
      <c r="B332" s="13" t="s">
        <v>10</v>
      </c>
      <c r="C332" s="13" t="s">
        <v>58</v>
      </c>
      <c r="D332" s="13"/>
      <c r="E332" s="13"/>
      <c r="F332" s="13"/>
      <c r="G332" s="15">
        <f>SUM(G333+G349+G360+G366)</f>
        <v>132939.5</v>
      </c>
    </row>
    <row r="333" spans="1:7" s="96" customFormat="1" ht="46.8" x14ac:dyDescent="0.25">
      <c r="A333" s="31" t="s">
        <v>377</v>
      </c>
      <c r="B333" s="13" t="s">
        <v>10</v>
      </c>
      <c r="C333" s="13" t="s">
        <v>58</v>
      </c>
      <c r="D333" s="13" t="s">
        <v>0</v>
      </c>
      <c r="E333" s="13"/>
      <c r="F333" s="14"/>
      <c r="G333" s="15">
        <f>SUM(G339+G342+G337+G334+G345+G347)</f>
        <v>9341.4</v>
      </c>
    </row>
    <row r="334" spans="1:7" s="96" customFormat="1" ht="31.2" x14ac:dyDescent="0.25">
      <c r="A334" s="31" t="s">
        <v>608</v>
      </c>
      <c r="B334" s="13" t="s">
        <v>10</v>
      </c>
      <c r="C334" s="13" t="s">
        <v>58</v>
      </c>
      <c r="D334" s="13" t="s">
        <v>0</v>
      </c>
      <c r="E334" s="13" t="s">
        <v>607</v>
      </c>
      <c r="F334" s="14"/>
      <c r="G334" s="15">
        <f>G335+G336</f>
        <v>5355.8</v>
      </c>
    </row>
    <row r="335" spans="1:7" s="96" customFormat="1" ht="31.2" x14ac:dyDescent="0.25">
      <c r="A335" s="29" t="s">
        <v>115</v>
      </c>
      <c r="B335" s="13" t="s">
        <v>10</v>
      </c>
      <c r="C335" s="13" t="s">
        <v>58</v>
      </c>
      <c r="D335" s="13" t="s">
        <v>0</v>
      </c>
      <c r="E335" s="13" t="s">
        <v>607</v>
      </c>
      <c r="F335" s="14" t="s">
        <v>20</v>
      </c>
      <c r="G335" s="15">
        <v>760</v>
      </c>
    </row>
    <row r="336" spans="1:7" s="96" customFormat="1" x14ac:dyDescent="0.25">
      <c r="A336" s="29" t="s">
        <v>21</v>
      </c>
      <c r="B336" s="13" t="s">
        <v>10</v>
      </c>
      <c r="C336" s="13" t="s">
        <v>58</v>
      </c>
      <c r="D336" s="13" t="s">
        <v>0</v>
      </c>
      <c r="E336" s="13" t="s">
        <v>607</v>
      </c>
      <c r="F336" s="14" t="s">
        <v>22</v>
      </c>
      <c r="G336" s="15">
        <v>4595.8</v>
      </c>
    </row>
    <row r="337" spans="1:7" s="96" customFormat="1" ht="109.2" x14ac:dyDescent="0.25">
      <c r="A337" s="29" t="s">
        <v>354</v>
      </c>
      <c r="B337" s="13" t="s">
        <v>10</v>
      </c>
      <c r="C337" s="13" t="s">
        <v>58</v>
      </c>
      <c r="D337" s="13" t="s">
        <v>0</v>
      </c>
      <c r="E337" s="13" t="s">
        <v>120</v>
      </c>
      <c r="F337" s="14"/>
      <c r="G337" s="15">
        <f>SUM(G338)</f>
        <v>252</v>
      </c>
    </row>
    <row r="338" spans="1:7" s="96" customFormat="1" ht="46.8" x14ac:dyDescent="0.25">
      <c r="A338" s="29" t="s">
        <v>114</v>
      </c>
      <c r="B338" s="13" t="s">
        <v>10</v>
      </c>
      <c r="C338" s="13" t="s">
        <v>58</v>
      </c>
      <c r="D338" s="13" t="s">
        <v>0</v>
      </c>
      <c r="E338" s="13" t="s">
        <v>120</v>
      </c>
      <c r="F338" s="14" t="s">
        <v>19</v>
      </c>
      <c r="G338" s="15">
        <v>252</v>
      </c>
    </row>
    <row r="339" spans="1:7" s="96" customFormat="1" ht="46.8" x14ac:dyDescent="0.25">
      <c r="A339" s="29" t="s">
        <v>173</v>
      </c>
      <c r="B339" s="13" t="s">
        <v>10</v>
      </c>
      <c r="C339" s="13" t="s">
        <v>58</v>
      </c>
      <c r="D339" s="13" t="s">
        <v>0</v>
      </c>
      <c r="E339" s="13" t="s">
        <v>172</v>
      </c>
      <c r="F339" s="14"/>
      <c r="G339" s="15">
        <f>SUM(G340:G341)</f>
        <v>1866.8</v>
      </c>
    </row>
    <row r="340" spans="1:7" s="96" customFormat="1" ht="46.8" x14ac:dyDescent="0.25">
      <c r="A340" s="29" t="s">
        <v>114</v>
      </c>
      <c r="B340" s="13" t="s">
        <v>10</v>
      </c>
      <c r="C340" s="13" t="s">
        <v>58</v>
      </c>
      <c r="D340" s="13" t="s">
        <v>0</v>
      </c>
      <c r="E340" s="13" t="s">
        <v>172</v>
      </c>
      <c r="F340" s="14" t="s">
        <v>19</v>
      </c>
      <c r="G340" s="15">
        <v>1729.1</v>
      </c>
    </row>
    <row r="341" spans="1:7" s="96" customFormat="1" ht="31.2" x14ac:dyDescent="0.25">
      <c r="A341" s="29" t="s">
        <v>115</v>
      </c>
      <c r="B341" s="13" t="s">
        <v>10</v>
      </c>
      <c r="C341" s="13" t="s">
        <v>58</v>
      </c>
      <c r="D341" s="13" t="s">
        <v>0</v>
      </c>
      <c r="E341" s="13" t="s">
        <v>172</v>
      </c>
      <c r="F341" s="14" t="s">
        <v>20</v>
      </c>
      <c r="G341" s="15">
        <v>137.69999999999999</v>
      </c>
    </row>
    <row r="342" spans="1:7" s="96" customFormat="1" ht="93.6" x14ac:dyDescent="0.25">
      <c r="A342" s="37" t="s">
        <v>180</v>
      </c>
      <c r="B342" s="13" t="s">
        <v>10</v>
      </c>
      <c r="C342" s="13" t="s">
        <v>58</v>
      </c>
      <c r="D342" s="13" t="s">
        <v>0</v>
      </c>
      <c r="E342" s="13" t="s">
        <v>43</v>
      </c>
      <c r="F342" s="14"/>
      <c r="G342" s="15">
        <f>SUM(G343:G344)</f>
        <v>933.40000000000009</v>
      </c>
    </row>
    <row r="343" spans="1:7" s="96" customFormat="1" ht="46.5" customHeight="1" x14ac:dyDescent="0.25">
      <c r="A343" s="29" t="s">
        <v>114</v>
      </c>
      <c r="B343" s="13" t="s">
        <v>10</v>
      </c>
      <c r="C343" s="13" t="s">
        <v>58</v>
      </c>
      <c r="D343" s="13" t="s">
        <v>0</v>
      </c>
      <c r="E343" s="13" t="s">
        <v>43</v>
      </c>
      <c r="F343" s="14" t="s">
        <v>19</v>
      </c>
      <c r="G343" s="15">
        <v>849.2</v>
      </c>
    </row>
    <row r="344" spans="1:7" s="96" customFormat="1" ht="31.2" x14ac:dyDescent="0.25">
      <c r="A344" s="29" t="s">
        <v>115</v>
      </c>
      <c r="B344" s="13" t="s">
        <v>10</v>
      </c>
      <c r="C344" s="13" t="s">
        <v>58</v>
      </c>
      <c r="D344" s="13" t="s">
        <v>0</v>
      </c>
      <c r="E344" s="13" t="s">
        <v>43</v>
      </c>
      <c r="F344" s="14" t="s">
        <v>20</v>
      </c>
      <c r="G344" s="15">
        <v>84.2</v>
      </c>
    </row>
    <row r="345" spans="1:7" s="96" customFormat="1" ht="141.75" customHeight="1" x14ac:dyDescent="0.25">
      <c r="A345" s="29" t="s">
        <v>566</v>
      </c>
      <c r="B345" s="13" t="s">
        <v>10</v>
      </c>
      <c r="C345" s="13" t="s">
        <v>58</v>
      </c>
      <c r="D345" s="13" t="s">
        <v>0</v>
      </c>
      <c r="E345" s="13" t="s">
        <v>476</v>
      </c>
      <c r="F345" s="14"/>
      <c r="G345" s="15">
        <f>SUM(G346)</f>
        <v>0</v>
      </c>
    </row>
    <row r="346" spans="1:7" s="96" customFormat="1" ht="46.8" x14ac:dyDescent="0.25">
      <c r="A346" s="29" t="s">
        <v>114</v>
      </c>
      <c r="B346" s="13" t="s">
        <v>10</v>
      </c>
      <c r="C346" s="13" t="s">
        <v>58</v>
      </c>
      <c r="D346" s="13" t="s">
        <v>0</v>
      </c>
      <c r="E346" s="13" t="s">
        <v>476</v>
      </c>
      <c r="F346" s="14" t="s">
        <v>19</v>
      </c>
      <c r="G346" s="15">
        <f>933.4-933.4</f>
        <v>0</v>
      </c>
    </row>
    <row r="347" spans="1:7" s="96" customFormat="1" ht="116.25" customHeight="1" x14ac:dyDescent="0.25">
      <c r="A347" s="29" t="s">
        <v>643</v>
      </c>
      <c r="B347" s="13" t="s">
        <v>10</v>
      </c>
      <c r="C347" s="13" t="s">
        <v>58</v>
      </c>
      <c r="D347" s="13" t="s">
        <v>0</v>
      </c>
      <c r="E347" s="13" t="s">
        <v>642</v>
      </c>
      <c r="F347" s="14"/>
      <c r="G347" s="15">
        <f>G348</f>
        <v>933.4</v>
      </c>
    </row>
    <row r="348" spans="1:7" s="96" customFormat="1" ht="46.8" x14ac:dyDescent="0.25">
      <c r="A348" s="29" t="s">
        <v>114</v>
      </c>
      <c r="B348" s="13" t="s">
        <v>10</v>
      </c>
      <c r="C348" s="13" t="s">
        <v>58</v>
      </c>
      <c r="D348" s="13" t="s">
        <v>0</v>
      </c>
      <c r="E348" s="13" t="s">
        <v>642</v>
      </c>
      <c r="F348" s="14" t="s">
        <v>19</v>
      </c>
      <c r="G348" s="15">
        <f>933.4</f>
        <v>933.4</v>
      </c>
    </row>
    <row r="349" spans="1:7" s="96" customFormat="1" x14ac:dyDescent="0.25">
      <c r="A349" s="29" t="s">
        <v>151</v>
      </c>
      <c r="B349" s="13" t="s">
        <v>10</v>
      </c>
      <c r="C349" s="13" t="s">
        <v>58</v>
      </c>
      <c r="D349" s="13" t="s">
        <v>1</v>
      </c>
      <c r="E349" s="13"/>
      <c r="F349" s="14"/>
      <c r="G349" s="15">
        <f>SUM(G350+G354+G356+G358)</f>
        <v>17408</v>
      </c>
    </row>
    <row r="350" spans="1:7" s="96" customFormat="1" x14ac:dyDescent="0.25">
      <c r="A350" s="29" t="s">
        <v>26</v>
      </c>
      <c r="B350" s="13" t="s">
        <v>10</v>
      </c>
      <c r="C350" s="13" t="s">
        <v>58</v>
      </c>
      <c r="D350" s="13" t="s">
        <v>1</v>
      </c>
      <c r="E350" s="13" t="s">
        <v>41</v>
      </c>
      <c r="F350" s="14"/>
      <c r="G350" s="15">
        <f>SUM(G351:G353)</f>
        <v>16875.2</v>
      </c>
    </row>
    <row r="351" spans="1:7" s="96" customFormat="1" ht="46.8" x14ac:dyDescent="0.25">
      <c r="A351" s="29" t="s">
        <v>114</v>
      </c>
      <c r="B351" s="13" t="s">
        <v>10</v>
      </c>
      <c r="C351" s="13" t="s">
        <v>58</v>
      </c>
      <c r="D351" s="13" t="s">
        <v>1</v>
      </c>
      <c r="E351" s="13" t="s">
        <v>41</v>
      </c>
      <c r="F351" s="14" t="s">
        <v>19</v>
      </c>
      <c r="G351" s="15">
        <f>15133.9+1192.7</f>
        <v>16326.6</v>
      </c>
    </row>
    <row r="352" spans="1:7" s="96" customFormat="1" ht="31.2" x14ac:dyDescent="0.25">
      <c r="A352" s="29" t="s">
        <v>115</v>
      </c>
      <c r="B352" s="13" t="s">
        <v>10</v>
      </c>
      <c r="C352" s="13" t="s">
        <v>58</v>
      </c>
      <c r="D352" s="13" t="s">
        <v>1</v>
      </c>
      <c r="E352" s="13" t="s">
        <v>41</v>
      </c>
      <c r="F352" s="14" t="s">
        <v>20</v>
      </c>
      <c r="G352" s="15">
        <f>541.9-6.7+6.7</f>
        <v>541.9</v>
      </c>
    </row>
    <row r="353" spans="1:7" s="96" customFormat="1" x14ac:dyDescent="0.25">
      <c r="A353" s="29" t="s">
        <v>21</v>
      </c>
      <c r="B353" s="13" t="s">
        <v>10</v>
      </c>
      <c r="C353" s="13" t="s">
        <v>58</v>
      </c>
      <c r="D353" s="13" t="s">
        <v>1</v>
      </c>
      <c r="E353" s="13" t="s">
        <v>41</v>
      </c>
      <c r="F353" s="14" t="s">
        <v>22</v>
      </c>
      <c r="G353" s="15">
        <v>6.7</v>
      </c>
    </row>
    <row r="354" spans="1:7" s="96" customFormat="1" x14ac:dyDescent="0.25">
      <c r="A354" s="29" t="s">
        <v>228</v>
      </c>
      <c r="B354" s="13" t="s">
        <v>10</v>
      </c>
      <c r="C354" s="25">
        <v>1</v>
      </c>
      <c r="D354" s="13" t="s">
        <v>1</v>
      </c>
      <c r="E354" s="13" t="s">
        <v>229</v>
      </c>
      <c r="F354" s="13"/>
      <c r="G354" s="15">
        <f t="shared" ref="G354" si="0">SUM(G355)</f>
        <v>61.8</v>
      </c>
    </row>
    <row r="355" spans="1:7" s="96" customFormat="1" ht="31.2" x14ac:dyDescent="0.25">
      <c r="A355" s="29" t="s">
        <v>115</v>
      </c>
      <c r="B355" s="13" t="s">
        <v>10</v>
      </c>
      <c r="C355" s="25">
        <v>1</v>
      </c>
      <c r="D355" s="13" t="s">
        <v>1</v>
      </c>
      <c r="E355" s="13" t="s">
        <v>229</v>
      </c>
      <c r="F355" s="13" t="s">
        <v>20</v>
      </c>
      <c r="G355" s="15">
        <v>61.8</v>
      </c>
    </row>
    <row r="356" spans="1:7" s="96" customFormat="1" x14ac:dyDescent="0.25">
      <c r="A356" s="29" t="s">
        <v>234</v>
      </c>
      <c r="B356" s="13" t="s">
        <v>10</v>
      </c>
      <c r="C356" s="13" t="s">
        <v>58</v>
      </c>
      <c r="D356" s="13" t="s">
        <v>1</v>
      </c>
      <c r="E356" s="13" t="s">
        <v>235</v>
      </c>
      <c r="F356" s="14"/>
      <c r="G356" s="15">
        <f t="shared" ref="G356" si="1">SUM(G357)</f>
        <v>126</v>
      </c>
    </row>
    <row r="357" spans="1:7" s="96" customFormat="1" ht="31.2" x14ac:dyDescent="0.25">
      <c r="A357" s="29" t="s">
        <v>115</v>
      </c>
      <c r="B357" s="13" t="s">
        <v>10</v>
      </c>
      <c r="C357" s="13" t="s">
        <v>58</v>
      </c>
      <c r="D357" s="13" t="s">
        <v>1</v>
      </c>
      <c r="E357" s="13" t="s">
        <v>235</v>
      </c>
      <c r="F357" s="14" t="s">
        <v>20</v>
      </c>
      <c r="G357" s="15">
        <v>126</v>
      </c>
    </row>
    <row r="358" spans="1:7" s="96" customFormat="1" ht="31.2" x14ac:dyDescent="0.25">
      <c r="A358" s="29" t="s">
        <v>232</v>
      </c>
      <c r="B358" s="13" t="s">
        <v>10</v>
      </c>
      <c r="C358" s="13" t="s">
        <v>58</v>
      </c>
      <c r="D358" s="13" t="s">
        <v>1</v>
      </c>
      <c r="E358" s="13" t="s">
        <v>233</v>
      </c>
      <c r="F358" s="14"/>
      <c r="G358" s="15">
        <f>SUM(G359)</f>
        <v>345</v>
      </c>
    </row>
    <row r="359" spans="1:7" s="96" customFormat="1" ht="31.2" x14ac:dyDescent="0.25">
      <c r="A359" s="29" t="s">
        <v>115</v>
      </c>
      <c r="B359" s="13" t="s">
        <v>10</v>
      </c>
      <c r="C359" s="13" t="s">
        <v>58</v>
      </c>
      <c r="D359" s="13" t="s">
        <v>1</v>
      </c>
      <c r="E359" s="13" t="s">
        <v>233</v>
      </c>
      <c r="F359" s="14" t="s">
        <v>20</v>
      </c>
      <c r="G359" s="15">
        <v>345</v>
      </c>
    </row>
    <row r="360" spans="1:7" s="96" customFormat="1" x14ac:dyDescent="0.25">
      <c r="A360" s="29" t="s">
        <v>553</v>
      </c>
      <c r="B360" s="13" t="s">
        <v>10</v>
      </c>
      <c r="C360" s="13" t="s">
        <v>58</v>
      </c>
      <c r="D360" s="13" t="s">
        <v>2</v>
      </c>
      <c r="E360" s="13"/>
      <c r="F360" s="14"/>
      <c r="G360" s="15">
        <f>SUM(G361)</f>
        <v>106190.09999999999</v>
      </c>
    </row>
    <row r="361" spans="1:7" s="96" customFormat="1" ht="46.8" x14ac:dyDescent="0.25">
      <c r="A361" s="31" t="s">
        <v>28</v>
      </c>
      <c r="B361" s="13" t="s">
        <v>10</v>
      </c>
      <c r="C361" s="13" t="s">
        <v>58</v>
      </c>
      <c r="D361" s="13" t="s">
        <v>2</v>
      </c>
      <c r="E361" s="13" t="s">
        <v>51</v>
      </c>
      <c r="F361" s="14"/>
      <c r="G361" s="15">
        <f>SUM(G362+G363+G364+G365)</f>
        <v>106190.09999999999</v>
      </c>
    </row>
    <row r="362" spans="1:7" s="96" customFormat="1" ht="46.8" x14ac:dyDescent="0.25">
      <c r="A362" s="29" t="s">
        <v>114</v>
      </c>
      <c r="B362" s="13" t="s">
        <v>10</v>
      </c>
      <c r="C362" s="13" t="s">
        <v>58</v>
      </c>
      <c r="D362" s="13" t="s">
        <v>2</v>
      </c>
      <c r="E362" s="13" t="s">
        <v>51</v>
      </c>
      <c r="F362" s="14" t="s">
        <v>19</v>
      </c>
      <c r="G362" s="15">
        <f>19984-2393.7</f>
        <v>17590.3</v>
      </c>
    </row>
    <row r="363" spans="1:7" s="96" customFormat="1" ht="31.2" x14ac:dyDescent="0.25">
      <c r="A363" s="29" t="s">
        <v>115</v>
      </c>
      <c r="B363" s="13" t="s">
        <v>10</v>
      </c>
      <c r="C363" s="13" t="s">
        <v>58</v>
      </c>
      <c r="D363" s="13" t="s">
        <v>2</v>
      </c>
      <c r="E363" s="13" t="s">
        <v>51</v>
      </c>
      <c r="F363" s="14" t="s">
        <v>20</v>
      </c>
      <c r="G363" s="15">
        <f>4962.7-128.1-2407.6</f>
        <v>2426.9999999999995</v>
      </c>
    </row>
    <row r="364" spans="1:7" s="96" customFormat="1" ht="31.2" x14ac:dyDescent="0.25">
      <c r="A364" s="30" t="s">
        <v>116</v>
      </c>
      <c r="B364" s="13" t="s">
        <v>10</v>
      </c>
      <c r="C364" s="13" t="s">
        <v>58</v>
      </c>
      <c r="D364" s="13" t="s">
        <v>2</v>
      </c>
      <c r="E364" s="13" t="s">
        <v>51</v>
      </c>
      <c r="F364" s="14" t="s">
        <v>111</v>
      </c>
      <c r="G364" s="15">
        <f>108753.5-25031.1+2378.4</f>
        <v>86100.799999999988</v>
      </c>
    </row>
    <row r="365" spans="1:7" s="96" customFormat="1" x14ac:dyDescent="0.25">
      <c r="A365" s="30" t="s">
        <v>21</v>
      </c>
      <c r="B365" s="13" t="s">
        <v>10</v>
      </c>
      <c r="C365" s="13" t="s">
        <v>58</v>
      </c>
      <c r="D365" s="13" t="s">
        <v>2</v>
      </c>
      <c r="E365" s="13" t="s">
        <v>51</v>
      </c>
      <c r="F365" s="14" t="s">
        <v>22</v>
      </c>
      <c r="G365" s="15">
        <f>84.4-12.4</f>
        <v>72</v>
      </c>
    </row>
    <row r="366" spans="1:7" s="96" customFormat="1" ht="31.2" x14ac:dyDescent="0.25">
      <c r="A366" s="30" t="s">
        <v>378</v>
      </c>
      <c r="B366" s="13" t="s">
        <v>10</v>
      </c>
      <c r="C366" s="13" t="s">
        <v>58</v>
      </c>
      <c r="D366" s="13" t="s">
        <v>3</v>
      </c>
      <c r="E366" s="13"/>
      <c r="F366" s="14"/>
      <c r="G366" s="15">
        <f>SUM(G367)</f>
        <v>0</v>
      </c>
    </row>
    <row r="367" spans="1:7" s="96" customFormat="1" x14ac:dyDescent="0.25">
      <c r="A367" s="30" t="s">
        <v>209</v>
      </c>
      <c r="B367" s="13" t="s">
        <v>10</v>
      </c>
      <c r="C367" s="13" t="s">
        <v>58</v>
      </c>
      <c r="D367" s="13" t="s">
        <v>3</v>
      </c>
      <c r="E367" s="13" t="s">
        <v>208</v>
      </c>
      <c r="F367" s="14"/>
      <c r="G367" s="15">
        <f>SUM(G368)</f>
        <v>0</v>
      </c>
    </row>
    <row r="368" spans="1:7" s="96" customFormat="1" x14ac:dyDescent="0.25">
      <c r="A368" s="30" t="s">
        <v>9</v>
      </c>
      <c r="B368" s="13" t="s">
        <v>10</v>
      </c>
      <c r="C368" s="13" t="s">
        <v>58</v>
      </c>
      <c r="D368" s="13" t="s">
        <v>3</v>
      </c>
      <c r="E368" s="13" t="s">
        <v>208</v>
      </c>
      <c r="F368" s="14" t="s">
        <v>25</v>
      </c>
      <c r="G368" s="15"/>
    </row>
    <row r="369" spans="1:7" s="96" customFormat="1" x14ac:dyDescent="0.25">
      <c r="A369" s="30" t="s">
        <v>548</v>
      </c>
      <c r="B369" s="13" t="s">
        <v>10</v>
      </c>
      <c r="C369" s="13" t="s">
        <v>93</v>
      </c>
      <c r="D369" s="13"/>
      <c r="E369" s="13"/>
      <c r="F369" s="14"/>
      <c r="G369" s="15">
        <f>SUM(G370+G387)</f>
        <v>431999.89999999997</v>
      </c>
    </row>
    <row r="370" spans="1:7" s="96" customFormat="1" ht="31.2" x14ac:dyDescent="0.25">
      <c r="A370" s="30" t="s">
        <v>550</v>
      </c>
      <c r="B370" s="13" t="s">
        <v>10</v>
      </c>
      <c r="C370" s="13" t="s">
        <v>93</v>
      </c>
      <c r="D370" s="13" t="s">
        <v>0</v>
      </c>
      <c r="E370" s="13"/>
      <c r="F370" s="14"/>
      <c r="G370" s="15">
        <f>SUM(G377+G380+G371+G373+G375+G383+G385)</f>
        <v>349400.39999999997</v>
      </c>
    </row>
    <row r="371" spans="1:7" s="96" customFormat="1" x14ac:dyDescent="0.25">
      <c r="A371" s="30" t="s">
        <v>599</v>
      </c>
      <c r="B371" s="13" t="s">
        <v>10</v>
      </c>
      <c r="C371" s="13" t="s">
        <v>93</v>
      </c>
      <c r="D371" s="13" t="s">
        <v>0</v>
      </c>
      <c r="E371" s="13" t="s">
        <v>597</v>
      </c>
      <c r="F371" s="14"/>
      <c r="G371" s="15">
        <f>G372</f>
        <v>17886</v>
      </c>
    </row>
    <row r="372" spans="1:7" s="96" customFormat="1" ht="31.2" x14ac:dyDescent="0.25">
      <c r="A372" s="29" t="s">
        <v>115</v>
      </c>
      <c r="B372" s="13" t="s">
        <v>10</v>
      </c>
      <c r="C372" s="13" t="s">
        <v>93</v>
      </c>
      <c r="D372" s="13" t="s">
        <v>0</v>
      </c>
      <c r="E372" s="13" t="s">
        <v>597</v>
      </c>
      <c r="F372" s="14" t="s">
        <v>20</v>
      </c>
      <c r="G372" s="15">
        <f>964.4+16721.6+200</f>
        <v>17886</v>
      </c>
    </row>
    <row r="373" spans="1:7" s="96" customFormat="1" ht="21.6" customHeight="1" x14ac:dyDescent="0.25">
      <c r="A373" s="30" t="s">
        <v>600</v>
      </c>
      <c r="B373" s="13" t="s">
        <v>10</v>
      </c>
      <c r="C373" s="13" t="s">
        <v>93</v>
      </c>
      <c r="D373" s="13" t="s">
        <v>0</v>
      </c>
      <c r="E373" s="13" t="s">
        <v>598</v>
      </c>
      <c r="F373" s="14"/>
      <c r="G373" s="15">
        <f>G374</f>
        <v>26294</v>
      </c>
    </row>
    <row r="374" spans="1:7" s="96" customFormat="1" ht="31.2" x14ac:dyDescent="0.25">
      <c r="A374" s="29" t="s">
        <v>115</v>
      </c>
      <c r="B374" s="13" t="s">
        <v>10</v>
      </c>
      <c r="C374" s="13" t="s">
        <v>93</v>
      </c>
      <c r="D374" s="13" t="s">
        <v>0</v>
      </c>
      <c r="E374" s="13" t="s">
        <v>598</v>
      </c>
      <c r="F374" s="14" t="s">
        <v>20</v>
      </c>
      <c r="G374" s="15">
        <f>947+25347</f>
        <v>26294</v>
      </c>
    </row>
    <row r="375" spans="1:7" s="96" customFormat="1" x14ac:dyDescent="0.25">
      <c r="A375" s="29" t="s">
        <v>610</v>
      </c>
      <c r="B375" s="13" t="s">
        <v>10</v>
      </c>
      <c r="C375" s="13" t="s">
        <v>93</v>
      </c>
      <c r="D375" s="13" t="s">
        <v>0</v>
      </c>
      <c r="E375" s="13" t="s">
        <v>609</v>
      </c>
      <c r="F375" s="14"/>
      <c r="G375" s="15">
        <f>G376</f>
        <v>15490.7</v>
      </c>
    </row>
    <row r="376" spans="1:7" s="96" customFormat="1" ht="31.2" x14ac:dyDescent="0.25">
      <c r="A376" s="29" t="s">
        <v>115</v>
      </c>
      <c r="B376" s="13" t="s">
        <v>10</v>
      </c>
      <c r="C376" s="13" t="s">
        <v>93</v>
      </c>
      <c r="D376" s="13" t="s">
        <v>0</v>
      </c>
      <c r="E376" s="13" t="s">
        <v>609</v>
      </c>
      <c r="F376" s="14" t="s">
        <v>20</v>
      </c>
      <c r="G376" s="15">
        <f>15690.7-200</f>
        <v>15490.7</v>
      </c>
    </row>
    <row r="377" spans="1:7" s="96" customFormat="1" x14ac:dyDescent="0.25">
      <c r="A377" s="30" t="s">
        <v>589</v>
      </c>
      <c r="B377" s="13" t="s">
        <v>10</v>
      </c>
      <c r="C377" s="13" t="s">
        <v>93</v>
      </c>
      <c r="D377" s="13" t="s">
        <v>0</v>
      </c>
      <c r="E377" s="13" t="s">
        <v>590</v>
      </c>
      <c r="F377" s="14"/>
      <c r="G377" s="15">
        <f>G378+G379</f>
        <v>77060.399999999994</v>
      </c>
    </row>
    <row r="378" spans="1:7" s="96" customFormat="1" ht="31.2" x14ac:dyDescent="0.25">
      <c r="A378" s="29" t="s">
        <v>115</v>
      </c>
      <c r="B378" s="13" t="s">
        <v>10</v>
      </c>
      <c r="C378" s="13" t="s">
        <v>93</v>
      </c>
      <c r="D378" s="13" t="s">
        <v>0</v>
      </c>
      <c r="E378" s="13" t="s">
        <v>590</v>
      </c>
      <c r="F378" s="14" t="s">
        <v>20</v>
      </c>
      <c r="G378" s="15">
        <f>36.8+48+271.8+124.6+137.8+160.8+210.8+78.3+318+33320.3+36807.2+546.1-0.1</f>
        <v>72060.399999999994</v>
      </c>
    </row>
    <row r="379" spans="1:7" s="96" customFormat="1" ht="31.2" x14ac:dyDescent="0.25">
      <c r="A379" s="29" t="s">
        <v>118</v>
      </c>
      <c r="B379" s="13" t="s">
        <v>10</v>
      </c>
      <c r="C379" s="13" t="s">
        <v>93</v>
      </c>
      <c r="D379" s="13" t="s">
        <v>0</v>
      </c>
      <c r="E379" s="13" t="s">
        <v>590</v>
      </c>
      <c r="F379" s="14" t="s">
        <v>119</v>
      </c>
      <c r="G379" s="15">
        <v>5000</v>
      </c>
    </row>
    <row r="380" spans="1:7" s="96" customFormat="1" x14ac:dyDescent="0.25">
      <c r="A380" s="30" t="s">
        <v>561</v>
      </c>
      <c r="B380" s="13" t="s">
        <v>10</v>
      </c>
      <c r="C380" s="13" t="s">
        <v>93</v>
      </c>
      <c r="D380" s="13" t="s">
        <v>0</v>
      </c>
      <c r="E380" s="13" t="s">
        <v>510</v>
      </c>
      <c r="F380" s="14"/>
      <c r="G380" s="15">
        <f>SUM(G381+G382)</f>
        <v>196288.69999999998</v>
      </c>
    </row>
    <row r="381" spans="1:7" s="96" customFormat="1" ht="31.2" x14ac:dyDescent="0.25">
      <c r="A381" s="29" t="s">
        <v>115</v>
      </c>
      <c r="B381" s="13" t="s">
        <v>10</v>
      </c>
      <c r="C381" s="13" t="s">
        <v>93</v>
      </c>
      <c r="D381" s="13" t="s">
        <v>0</v>
      </c>
      <c r="E381" s="13" t="s">
        <v>510</v>
      </c>
      <c r="F381" s="14" t="s">
        <v>20</v>
      </c>
      <c r="G381" s="15">
        <f>241102.5-157741.6+546.1+35.7+172.2+3316.2-36807.2-546.1</f>
        <v>50077.799999999996</v>
      </c>
    </row>
    <row r="382" spans="1:7" s="96" customFormat="1" x14ac:dyDescent="0.25">
      <c r="A382" s="29" t="s">
        <v>21</v>
      </c>
      <c r="B382" s="13" t="s">
        <v>10</v>
      </c>
      <c r="C382" s="13" t="s">
        <v>93</v>
      </c>
      <c r="D382" s="13" t="s">
        <v>0</v>
      </c>
      <c r="E382" s="13" t="s">
        <v>510</v>
      </c>
      <c r="F382" s="14" t="s">
        <v>22</v>
      </c>
      <c r="G382" s="15">
        <f>157741.6-11530.7</f>
        <v>146210.9</v>
      </c>
    </row>
    <row r="383" spans="1:7" s="96" customFormat="1" ht="31.2" x14ac:dyDescent="0.25">
      <c r="A383" s="29" t="s">
        <v>647</v>
      </c>
      <c r="B383" s="13" t="s">
        <v>10</v>
      </c>
      <c r="C383" s="13" t="s">
        <v>93</v>
      </c>
      <c r="D383" s="13" t="s">
        <v>0</v>
      </c>
      <c r="E383" s="13" t="s">
        <v>646</v>
      </c>
      <c r="F383" s="14"/>
      <c r="G383" s="15">
        <f>G384</f>
        <v>2000</v>
      </c>
    </row>
    <row r="384" spans="1:7" s="96" customFormat="1" ht="31.2" x14ac:dyDescent="0.25">
      <c r="A384" s="29" t="s">
        <v>115</v>
      </c>
      <c r="B384" s="13" t="s">
        <v>10</v>
      </c>
      <c r="C384" s="13" t="s">
        <v>93</v>
      </c>
      <c r="D384" s="13" t="s">
        <v>0</v>
      </c>
      <c r="E384" s="13" t="s">
        <v>646</v>
      </c>
      <c r="F384" s="14" t="s">
        <v>20</v>
      </c>
      <c r="G384" s="15">
        <v>2000</v>
      </c>
    </row>
    <row r="385" spans="1:7" s="96" customFormat="1" x14ac:dyDescent="0.25">
      <c r="A385" s="29" t="s">
        <v>648</v>
      </c>
      <c r="B385" s="13" t="s">
        <v>10</v>
      </c>
      <c r="C385" s="13" t="s">
        <v>93</v>
      </c>
      <c r="D385" s="13" t="s">
        <v>0</v>
      </c>
      <c r="E385" s="13" t="s">
        <v>649</v>
      </c>
      <c r="F385" s="14"/>
      <c r="G385" s="15">
        <f>G386</f>
        <v>14380.6</v>
      </c>
    </row>
    <row r="386" spans="1:7" s="96" customFormat="1" ht="31.2" x14ac:dyDescent="0.25">
      <c r="A386" s="29" t="s">
        <v>115</v>
      </c>
      <c r="B386" s="13" t="s">
        <v>10</v>
      </c>
      <c r="C386" s="13" t="s">
        <v>93</v>
      </c>
      <c r="D386" s="13" t="s">
        <v>0</v>
      </c>
      <c r="E386" s="13" t="s">
        <v>649</v>
      </c>
      <c r="F386" s="14" t="s">
        <v>20</v>
      </c>
      <c r="G386" s="15">
        <v>14380.6</v>
      </c>
    </row>
    <row r="387" spans="1:7" s="96" customFormat="1" x14ac:dyDescent="0.25">
      <c r="A387" s="29" t="s">
        <v>152</v>
      </c>
      <c r="B387" s="13" t="s">
        <v>10</v>
      </c>
      <c r="C387" s="13" t="s">
        <v>93</v>
      </c>
      <c r="D387" s="13" t="s">
        <v>1</v>
      </c>
      <c r="E387" s="13"/>
      <c r="F387" s="14"/>
      <c r="G387" s="15">
        <f>SUM(G389)</f>
        <v>82599.5</v>
      </c>
    </row>
    <row r="388" spans="1:7" s="96" customFormat="1" ht="46.8" x14ac:dyDescent="0.25">
      <c r="A388" s="31" t="s">
        <v>28</v>
      </c>
      <c r="B388" s="13" t="s">
        <v>10</v>
      </c>
      <c r="C388" s="13" t="s">
        <v>93</v>
      </c>
      <c r="D388" s="13" t="s">
        <v>1</v>
      </c>
      <c r="E388" s="13" t="s">
        <v>51</v>
      </c>
      <c r="F388" s="14"/>
      <c r="G388" s="15">
        <f>SUM(G389)</f>
        <v>82599.5</v>
      </c>
    </row>
    <row r="389" spans="1:7" s="96" customFormat="1" ht="32.25" customHeight="1" x14ac:dyDescent="0.25">
      <c r="A389" s="30" t="s">
        <v>116</v>
      </c>
      <c r="B389" s="13" t="s">
        <v>10</v>
      </c>
      <c r="C389" s="13" t="s">
        <v>93</v>
      </c>
      <c r="D389" s="13" t="s">
        <v>1</v>
      </c>
      <c r="E389" s="13" t="s">
        <v>51</v>
      </c>
      <c r="F389" s="14" t="s">
        <v>111</v>
      </c>
      <c r="G389" s="15">
        <v>82599.5</v>
      </c>
    </row>
    <row r="390" spans="1:7" s="96" customFormat="1" x14ac:dyDescent="0.25">
      <c r="A390" s="30" t="s">
        <v>549</v>
      </c>
      <c r="B390" s="13" t="s">
        <v>10</v>
      </c>
      <c r="C390" s="13" t="s">
        <v>101</v>
      </c>
      <c r="D390" s="13"/>
      <c r="E390" s="13"/>
      <c r="F390" s="14"/>
      <c r="G390" s="15">
        <f>SUM(F391:G391)</f>
        <v>7725</v>
      </c>
    </row>
    <row r="391" spans="1:7" s="96" customFormat="1" x14ac:dyDescent="0.25">
      <c r="A391" s="30" t="s">
        <v>512</v>
      </c>
      <c r="B391" s="13" t="s">
        <v>10</v>
      </c>
      <c r="C391" s="13" t="s">
        <v>101</v>
      </c>
      <c r="D391" s="13" t="s">
        <v>0</v>
      </c>
      <c r="E391" s="13"/>
      <c r="F391" s="14"/>
      <c r="G391" s="15">
        <f>SUM(G394+G392)</f>
        <v>7725</v>
      </c>
    </row>
    <row r="392" spans="1:7" s="96" customFormat="1" x14ac:dyDescent="0.25">
      <c r="A392" s="30" t="s">
        <v>562</v>
      </c>
      <c r="B392" s="13" t="s">
        <v>10</v>
      </c>
      <c r="C392" s="13" t="s">
        <v>101</v>
      </c>
      <c r="D392" s="13" t="s">
        <v>0</v>
      </c>
      <c r="E392" s="13" t="s">
        <v>71</v>
      </c>
      <c r="F392" s="14"/>
      <c r="G392" s="15">
        <f>G393</f>
        <v>3625</v>
      </c>
    </row>
    <row r="393" spans="1:7" s="96" customFormat="1" ht="31.2" x14ac:dyDescent="0.25">
      <c r="A393" s="29" t="s">
        <v>115</v>
      </c>
      <c r="B393" s="13" t="s">
        <v>10</v>
      </c>
      <c r="C393" s="13" t="s">
        <v>101</v>
      </c>
      <c r="D393" s="13" t="s">
        <v>0</v>
      </c>
      <c r="E393" s="13" t="s">
        <v>71</v>
      </c>
      <c r="F393" s="14" t="s">
        <v>20</v>
      </c>
      <c r="G393" s="15">
        <v>3625</v>
      </c>
    </row>
    <row r="394" spans="1:7" s="96" customFormat="1" x14ac:dyDescent="0.25">
      <c r="A394" s="30" t="s">
        <v>562</v>
      </c>
      <c r="B394" s="13" t="s">
        <v>10</v>
      </c>
      <c r="C394" s="13" t="s">
        <v>101</v>
      </c>
      <c r="D394" s="13" t="s">
        <v>0</v>
      </c>
      <c r="E394" s="13" t="s">
        <v>514</v>
      </c>
      <c r="F394" s="14"/>
      <c r="G394" s="15">
        <f>SUM(G395)</f>
        <v>4100</v>
      </c>
    </row>
    <row r="395" spans="1:7" s="96" customFormat="1" ht="31.2" x14ac:dyDescent="0.25">
      <c r="A395" s="29" t="s">
        <v>115</v>
      </c>
      <c r="B395" s="13" t="s">
        <v>10</v>
      </c>
      <c r="C395" s="13" t="s">
        <v>101</v>
      </c>
      <c r="D395" s="13" t="s">
        <v>0</v>
      </c>
      <c r="E395" s="13" t="s">
        <v>514</v>
      </c>
      <c r="F395" s="14" t="s">
        <v>20</v>
      </c>
      <c r="G395" s="15">
        <v>4100</v>
      </c>
    </row>
    <row r="396" spans="1:7" s="96" customFormat="1" x14ac:dyDescent="0.25">
      <c r="A396" s="29" t="s">
        <v>612</v>
      </c>
      <c r="B396" s="13" t="s">
        <v>10</v>
      </c>
      <c r="C396" s="13" t="s">
        <v>65</v>
      </c>
      <c r="D396" s="13"/>
      <c r="E396" s="13"/>
      <c r="F396" s="14"/>
      <c r="G396" s="15">
        <f>G397</f>
        <v>5259</v>
      </c>
    </row>
    <row r="397" spans="1:7" s="96" customFormat="1" x14ac:dyDescent="0.25">
      <c r="A397" s="29" t="s">
        <v>613</v>
      </c>
      <c r="B397" s="13" t="s">
        <v>10</v>
      </c>
      <c r="C397" s="13" t="s">
        <v>65</v>
      </c>
      <c r="D397" s="13" t="s">
        <v>0</v>
      </c>
      <c r="E397" s="13"/>
      <c r="F397" s="14"/>
      <c r="G397" s="15">
        <f>G398</f>
        <v>5259</v>
      </c>
    </row>
    <row r="398" spans="1:7" s="96" customFormat="1" ht="31.2" x14ac:dyDescent="0.25">
      <c r="A398" s="29" t="s">
        <v>614</v>
      </c>
      <c r="B398" s="13" t="s">
        <v>10</v>
      </c>
      <c r="C398" s="13" t="s">
        <v>65</v>
      </c>
      <c r="D398" s="13" t="s">
        <v>0</v>
      </c>
      <c r="E398" s="13" t="s">
        <v>611</v>
      </c>
      <c r="F398" s="14"/>
      <c r="G398" s="15">
        <f>G399+G400</f>
        <v>5259</v>
      </c>
    </row>
    <row r="399" spans="1:7" s="96" customFormat="1" ht="31.2" x14ac:dyDescent="0.25">
      <c r="A399" s="29" t="s">
        <v>115</v>
      </c>
      <c r="B399" s="13" t="s">
        <v>10</v>
      </c>
      <c r="C399" s="13" t="s">
        <v>65</v>
      </c>
      <c r="D399" s="13" t="s">
        <v>0</v>
      </c>
      <c r="E399" s="13" t="s">
        <v>611</v>
      </c>
      <c r="F399" s="14" t="s">
        <v>20</v>
      </c>
      <c r="G399" s="15">
        <v>559</v>
      </c>
    </row>
    <row r="400" spans="1:7" s="96" customFormat="1" ht="31.2" x14ac:dyDescent="0.25">
      <c r="A400" s="29" t="s">
        <v>118</v>
      </c>
      <c r="B400" s="13" t="s">
        <v>10</v>
      </c>
      <c r="C400" s="13" t="s">
        <v>65</v>
      </c>
      <c r="D400" s="13" t="s">
        <v>0</v>
      </c>
      <c r="E400" s="13" t="s">
        <v>611</v>
      </c>
      <c r="F400" s="14" t="s">
        <v>119</v>
      </c>
      <c r="G400" s="15">
        <v>4700</v>
      </c>
    </row>
    <row r="401" spans="1:7" s="96" customFormat="1" ht="31.2" x14ac:dyDescent="0.25">
      <c r="A401" s="31" t="s">
        <v>379</v>
      </c>
      <c r="B401" s="13" t="s">
        <v>5</v>
      </c>
      <c r="C401" s="13"/>
      <c r="D401" s="13"/>
      <c r="E401" s="13"/>
      <c r="F401" s="14"/>
      <c r="G401" s="15">
        <f>SUM(G402)</f>
        <v>333738.5</v>
      </c>
    </row>
    <row r="402" spans="1:7" s="96" customFormat="1" ht="31.2" x14ac:dyDescent="0.25">
      <c r="A402" s="31" t="s">
        <v>380</v>
      </c>
      <c r="B402" s="13" t="s">
        <v>5</v>
      </c>
      <c r="C402" s="13" t="s">
        <v>58</v>
      </c>
      <c r="D402" s="13"/>
      <c r="E402" s="13"/>
      <c r="F402" s="14"/>
      <c r="G402" s="15">
        <f>SUM(G403+G417)</f>
        <v>333738.5</v>
      </c>
    </row>
    <row r="403" spans="1:7" s="96" customFormat="1" x14ac:dyDescent="0.25">
      <c r="A403" s="31" t="s">
        <v>553</v>
      </c>
      <c r="B403" s="13" t="s">
        <v>5</v>
      </c>
      <c r="C403" s="13" t="s">
        <v>58</v>
      </c>
      <c r="D403" s="13" t="s">
        <v>0</v>
      </c>
      <c r="E403" s="13"/>
      <c r="F403" s="14"/>
      <c r="G403" s="15">
        <f>SUM(G404+G415+G410)</f>
        <v>301805.09999999998</v>
      </c>
    </row>
    <row r="404" spans="1:7" s="96" customFormat="1" ht="46.8" x14ac:dyDescent="0.25">
      <c r="A404" s="31" t="s">
        <v>106</v>
      </c>
      <c r="B404" s="13" t="s">
        <v>5</v>
      </c>
      <c r="C404" s="13" t="s">
        <v>58</v>
      </c>
      <c r="D404" s="13" t="s">
        <v>0</v>
      </c>
      <c r="E404" s="13" t="s">
        <v>51</v>
      </c>
      <c r="F404" s="14"/>
      <c r="G404" s="15">
        <f>SUM(G405:G409)</f>
        <v>228370.49999999994</v>
      </c>
    </row>
    <row r="405" spans="1:7" s="96" customFormat="1" ht="46.8" x14ac:dyDescent="0.25">
      <c r="A405" s="29" t="s">
        <v>114</v>
      </c>
      <c r="B405" s="13" t="s">
        <v>5</v>
      </c>
      <c r="C405" s="13" t="s">
        <v>58</v>
      </c>
      <c r="D405" s="13" t="s">
        <v>0</v>
      </c>
      <c r="E405" s="13" t="s">
        <v>51</v>
      </c>
      <c r="F405" s="14" t="s">
        <v>19</v>
      </c>
      <c r="G405" s="15">
        <f>150212.1+4647.4-9999.2-4811.7+7.8+19022.3-2627.5-1074.1+1822.8+18.7-922+0.1</f>
        <v>156296.69999999995</v>
      </c>
    </row>
    <row r="406" spans="1:7" s="96" customFormat="1" ht="31.2" x14ac:dyDescent="0.25">
      <c r="A406" s="29" t="s">
        <v>115</v>
      </c>
      <c r="B406" s="13" t="s">
        <v>5</v>
      </c>
      <c r="C406" s="13" t="s">
        <v>58</v>
      </c>
      <c r="D406" s="13" t="s">
        <v>0</v>
      </c>
      <c r="E406" s="13" t="s">
        <v>51</v>
      </c>
      <c r="F406" s="14" t="s">
        <v>20</v>
      </c>
      <c r="G406" s="15">
        <f>55928.3+180.2+191.1+1018.8+52.1+5.8+1+12721.3-7-6.5+1639.8-18.7-7.5+32.3</f>
        <v>71731.000000000015</v>
      </c>
    </row>
    <row r="407" spans="1:7" s="96" customFormat="1" x14ac:dyDescent="0.25">
      <c r="A407" s="29" t="s">
        <v>117</v>
      </c>
      <c r="B407" s="13" t="s">
        <v>5</v>
      </c>
      <c r="C407" s="13" t="s">
        <v>58</v>
      </c>
      <c r="D407" s="13" t="s">
        <v>0</v>
      </c>
      <c r="E407" s="13" t="s">
        <v>51</v>
      </c>
      <c r="F407" s="14" t="s">
        <v>109</v>
      </c>
      <c r="G407" s="15"/>
    </row>
    <row r="408" spans="1:7" s="96" customFormat="1" ht="31.2" x14ac:dyDescent="0.25">
      <c r="A408" s="30" t="s">
        <v>116</v>
      </c>
      <c r="B408" s="13" t="s">
        <v>5</v>
      </c>
      <c r="C408" s="13" t="s">
        <v>58</v>
      </c>
      <c r="D408" s="13" t="s">
        <v>0</v>
      </c>
      <c r="E408" s="13" t="s">
        <v>51</v>
      </c>
      <c r="F408" s="14" t="s">
        <v>111</v>
      </c>
      <c r="G408" s="15">
        <f>12334-12334</f>
        <v>0</v>
      </c>
    </row>
    <row r="409" spans="1:7" s="96" customFormat="1" x14ac:dyDescent="0.25">
      <c r="A409" s="29" t="s">
        <v>21</v>
      </c>
      <c r="B409" s="13" t="s">
        <v>5</v>
      </c>
      <c r="C409" s="13" t="s">
        <v>58</v>
      </c>
      <c r="D409" s="13" t="s">
        <v>0</v>
      </c>
      <c r="E409" s="13" t="s">
        <v>51</v>
      </c>
      <c r="F409" s="14" t="s">
        <v>22</v>
      </c>
      <c r="G409" s="15">
        <f>308.3+7+6.5+13.5+7.5</f>
        <v>342.8</v>
      </c>
    </row>
    <row r="410" spans="1:7" s="96" customFormat="1" ht="46.8" x14ac:dyDescent="0.25">
      <c r="A410" s="29" t="s">
        <v>495</v>
      </c>
      <c r="B410" s="13" t="s">
        <v>5</v>
      </c>
      <c r="C410" s="13" t="s">
        <v>58</v>
      </c>
      <c r="D410" s="13" t="s">
        <v>0</v>
      </c>
      <c r="E410" s="13" t="s">
        <v>496</v>
      </c>
      <c r="F410" s="14"/>
      <c r="G410" s="15">
        <f>SUM(G411:G414)</f>
        <v>73434.600000000006</v>
      </c>
    </row>
    <row r="411" spans="1:7" s="96" customFormat="1" ht="46.8" x14ac:dyDescent="0.25">
      <c r="A411" s="29" t="s">
        <v>114</v>
      </c>
      <c r="B411" s="13" t="s">
        <v>5</v>
      </c>
      <c r="C411" s="13" t="s">
        <v>58</v>
      </c>
      <c r="D411" s="13" t="s">
        <v>0</v>
      </c>
      <c r="E411" s="13" t="s">
        <v>496</v>
      </c>
      <c r="F411" s="14" t="s">
        <v>19</v>
      </c>
      <c r="G411" s="15">
        <f>50467.4-0.1-1318.1+483.6+609.7+512.5+312.5+342+594.9+258.9-0.1</f>
        <v>52263.200000000004</v>
      </c>
    </row>
    <row r="412" spans="1:7" s="96" customFormat="1" ht="31.2" x14ac:dyDescent="0.25">
      <c r="A412" s="29" t="s">
        <v>115</v>
      </c>
      <c r="B412" s="13" t="s">
        <v>5</v>
      </c>
      <c r="C412" s="13" t="s">
        <v>58</v>
      </c>
      <c r="D412" s="13" t="s">
        <v>0</v>
      </c>
      <c r="E412" s="13" t="s">
        <v>496</v>
      </c>
      <c r="F412" s="14" t="s">
        <v>20</v>
      </c>
      <c r="G412" s="15">
        <f>22359.2+37+1+3.8+5.7+53.2+1+2.3+66+640.9-0.2-2153.3-0.2-0.5-0.5+14</f>
        <v>21029.4</v>
      </c>
    </row>
    <row r="413" spans="1:7" s="96" customFormat="1" ht="31.2" x14ac:dyDescent="0.25">
      <c r="A413" s="30" t="s">
        <v>116</v>
      </c>
      <c r="B413" s="13" t="s">
        <v>5</v>
      </c>
      <c r="C413" s="13" t="s">
        <v>58</v>
      </c>
      <c r="D413" s="13" t="s">
        <v>0</v>
      </c>
      <c r="E413" s="13" t="s">
        <v>496</v>
      </c>
      <c r="F413" s="14" t="s">
        <v>111</v>
      </c>
      <c r="G413" s="15"/>
    </row>
    <row r="414" spans="1:7" s="96" customFormat="1" x14ac:dyDescent="0.25">
      <c r="A414" s="29" t="s">
        <v>21</v>
      </c>
      <c r="B414" s="13" t="s">
        <v>5</v>
      </c>
      <c r="C414" s="13" t="s">
        <v>58</v>
      </c>
      <c r="D414" s="13" t="s">
        <v>0</v>
      </c>
      <c r="E414" s="13" t="s">
        <v>496</v>
      </c>
      <c r="F414" s="14" t="s">
        <v>22</v>
      </c>
      <c r="G414" s="15">
        <f>140.2+4.9+0.1+0.2-4.7+0.2+0.5+0.5+0.1</f>
        <v>141.99999999999997</v>
      </c>
    </row>
    <row r="415" spans="1:7" s="96" customFormat="1" ht="31.2" x14ac:dyDescent="0.25">
      <c r="A415" s="31" t="s">
        <v>468</v>
      </c>
      <c r="B415" s="13" t="s">
        <v>5</v>
      </c>
      <c r="C415" s="13" t="s">
        <v>58</v>
      </c>
      <c r="D415" s="13" t="s">
        <v>0</v>
      </c>
      <c r="E415" s="13" t="s">
        <v>467</v>
      </c>
      <c r="F415" s="14"/>
      <c r="G415" s="15">
        <f>SUM(G416)</f>
        <v>0</v>
      </c>
    </row>
    <row r="416" spans="1:7" s="96" customFormat="1" ht="46.8" x14ac:dyDescent="0.25">
      <c r="A416" s="29" t="s">
        <v>114</v>
      </c>
      <c r="B416" s="13" t="s">
        <v>5</v>
      </c>
      <c r="C416" s="13" t="s">
        <v>58</v>
      </c>
      <c r="D416" s="13" t="s">
        <v>0</v>
      </c>
      <c r="E416" s="13" t="s">
        <v>467</v>
      </c>
      <c r="F416" s="14" t="s">
        <v>19</v>
      </c>
      <c r="G416" s="15">
        <f>5028.9-4635.9-393</f>
        <v>0</v>
      </c>
    </row>
    <row r="417" spans="1:9" s="96" customFormat="1" ht="31.2" x14ac:dyDescent="0.25">
      <c r="A417" s="29" t="s">
        <v>59</v>
      </c>
      <c r="B417" s="13" t="s">
        <v>5</v>
      </c>
      <c r="C417" s="13" t="s">
        <v>58</v>
      </c>
      <c r="D417" s="13" t="s">
        <v>1</v>
      </c>
      <c r="E417" s="13"/>
      <c r="F417" s="14"/>
      <c r="G417" s="15">
        <f>SUM(G425+G420+G427+G422+G418)</f>
        <v>31933.399999999998</v>
      </c>
    </row>
    <row r="418" spans="1:9" s="96" customFormat="1" x14ac:dyDescent="0.25">
      <c r="A418" s="29" t="s">
        <v>604</v>
      </c>
      <c r="B418" s="13" t="s">
        <v>5</v>
      </c>
      <c r="C418" s="25">
        <v>1</v>
      </c>
      <c r="D418" s="13" t="s">
        <v>1</v>
      </c>
      <c r="E418" s="13" t="s">
        <v>605</v>
      </c>
      <c r="F418" s="14"/>
      <c r="G418" s="15">
        <f>G419</f>
        <v>1119</v>
      </c>
    </row>
    <row r="419" spans="1:9" s="96" customFormat="1" x14ac:dyDescent="0.25">
      <c r="A419" s="29" t="s">
        <v>21</v>
      </c>
      <c r="B419" s="13" t="s">
        <v>5</v>
      </c>
      <c r="C419" s="25">
        <v>1</v>
      </c>
      <c r="D419" s="13" t="s">
        <v>1</v>
      </c>
      <c r="E419" s="13" t="s">
        <v>605</v>
      </c>
      <c r="F419" s="14" t="s">
        <v>22</v>
      </c>
      <c r="G419" s="15">
        <f>559.5+559.5</f>
        <v>1119</v>
      </c>
    </row>
    <row r="420" spans="1:9" s="96" customFormat="1" x14ac:dyDescent="0.25">
      <c r="A420" s="29" t="s">
        <v>228</v>
      </c>
      <c r="B420" s="13" t="s">
        <v>5</v>
      </c>
      <c r="C420" s="25">
        <v>1</v>
      </c>
      <c r="D420" s="13" t="s">
        <v>1</v>
      </c>
      <c r="E420" s="13" t="s">
        <v>229</v>
      </c>
      <c r="F420" s="14"/>
      <c r="G420" s="15">
        <f>SUM(G421)</f>
        <v>572.19999999999993</v>
      </c>
    </row>
    <row r="421" spans="1:9" s="96" customFormat="1" ht="31.2" x14ac:dyDescent="0.25">
      <c r="A421" s="29" t="s">
        <v>115</v>
      </c>
      <c r="B421" s="13" t="s">
        <v>5</v>
      </c>
      <c r="C421" s="25">
        <v>1</v>
      </c>
      <c r="D421" s="13" t="s">
        <v>1</v>
      </c>
      <c r="E421" s="13" t="s">
        <v>229</v>
      </c>
      <c r="F421" s="14" t="s">
        <v>20</v>
      </c>
      <c r="G421" s="15">
        <f>334.9+203.2+34.1</f>
        <v>572.19999999999993</v>
      </c>
    </row>
    <row r="422" spans="1:9" s="96" customFormat="1" x14ac:dyDescent="0.25">
      <c r="A422" s="29" t="s">
        <v>234</v>
      </c>
      <c r="B422" s="13" t="s">
        <v>5</v>
      </c>
      <c r="C422" s="25">
        <v>1</v>
      </c>
      <c r="D422" s="13" t="s">
        <v>1</v>
      </c>
      <c r="E422" s="13" t="s">
        <v>235</v>
      </c>
      <c r="F422" s="14"/>
      <c r="G422" s="15">
        <f>SUM(G423:G424)</f>
        <v>485.8</v>
      </c>
    </row>
    <row r="423" spans="1:9" s="96" customFormat="1" ht="46.8" x14ac:dyDescent="0.25">
      <c r="A423" s="29" t="s">
        <v>114</v>
      </c>
      <c r="B423" s="13" t="s">
        <v>5</v>
      </c>
      <c r="C423" s="25">
        <v>1</v>
      </c>
      <c r="D423" s="13" t="s">
        <v>1</v>
      </c>
      <c r="E423" s="13" t="s">
        <v>235</v>
      </c>
      <c r="F423" s="14" t="s">
        <v>19</v>
      </c>
      <c r="G423" s="15"/>
    </row>
    <row r="424" spans="1:9" s="96" customFormat="1" ht="31.2" x14ac:dyDescent="0.25">
      <c r="A424" s="29" t="s">
        <v>115</v>
      </c>
      <c r="B424" s="13" t="s">
        <v>5</v>
      </c>
      <c r="C424" s="25">
        <v>1</v>
      </c>
      <c r="D424" s="13" t="s">
        <v>1</v>
      </c>
      <c r="E424" s="13" t="s">
        <v>235</v>
      </c>
      <c r="F424" s="14" t="s">
        <v>20</v>
      </c>
      <c r="G424" s="15">
        <f>105.3+61.5+120+199</f>
        <v>485.8</v>
      </c>
    </row>
    <row r="425" spans="1:9" s="96" customFormat="1" ht="31.2" x14ac:dyDescent="0.25">
      <c r="A425" s="111" t="s">
        <v>232</v>
      </c>
      <c r="B425" s="13" t="s">
        <v>5</v>
      </c>
      <c r="C425" s="13" t="s">
        <v>58</v>
      </c>
      <c r="D425" s="13" t="s">
        <v>1</v>
      </c>
      <c r="E425" s="13" t="s">
        <v>233</v>
      </c>
      <c r="F425" s="14"/>
      <c r="G425" s="15">
        <f>SUM(G426:G426)</f>
        <v>27035.699999999997</v>
      </c>
    </row>
    <row r="426" spans="1:9" s="96" customFormat="1" ht="31.2" x14ac:dyDescent="0.25">
      <c r="A426" s="29" t="s">
        <v>115</v>
      </c>
      <c r="B426" s="13" t="s">
        <v>5</v>
      </c>
      <c r="C426" s="13" t="s">
        <v>58</v>
      </c>
      <c r="D426" s="13" t="s">
        <v>1</v>
      </c>
      <c r="E426" s="13" t="s">
        <v>233</v>
      </c>
      <c r="F426" s="14" t="s">
        <v>20</v>
      </c>
      <c r="G426" s="15">
        <f>16689.8+6584.4+500.7-120+67.2-199+2202.3+310.3+1000</f>
        <v>27035.699999999997</v>
      </c>
      <c r="I426" s="100"/>
    </row>
    <row r="427" spans="1:9" s="96" customFormat="1" ht="31.2" x14ac:dyDescent="0.25">
      <c r="A427" s="29" t="s">
        <v>230</v>
      </c>
      <c r="B427" s="13" t="s">
        <v>5</v>
      </c>
      <c r="C427" s="25">
        <v>1</v>
      </c>
      <c r="D427" s="13" t="s">
        <v>1</v>
      </c>
      <c r="E427" s="13" t="s">
        <v>231</v>
      </c>
      <c r="F427" s="13"/>
      <c r="G427" s="15">
        <f>SUM(G428)</f>
        <v>2720.7</v>
      </c>
    </row>
    <row r="428" spans="1:9" s="96" customFormat="1" ht="31.2" x14ac:dyDescent="0.25">
      <c r="A428" s="29" t="s">
        <v>115</v>
      </c>
      <c r="B428" s="13" t="s">
        <v>5</v>
      </c>
      <c r="C428" s="25">
        <v>1</v>
      </c>
      <c r="D428" s="13" t="s">
        <v>1</v>
      </c>
      <c r="E428" s="13" t="s">
        <v>231</v>
      </c>
      <c r="F428" s="13" t="s">
        <v>20</v>
      </c>
      <c r="G428" s="15">
        <f>2240.1+417.2+63.4</f>
        <v>2720.7</v>
      </c>
    </row>
    <row r="429" spans="1:9" s="96" customFormat="1" x14ac:dyDescent="0.25">
      <c r="A429" s="31" t="s">
        <v>382</v>
      </c>
      <c r="B429" s="13" t="s">
        <v>7</v>
      </c>
      <c r="C429" s="13"/>
      <c r="D429" s="13"/>
      <c r="E429" s="13"/>
      <c r="F429" s="14"/>
      <c r="G429" s="15">
        <f>SUM(G430)</f>
        <v>46804.6</v>
      </c>
      <c r="H429" s="96">
        <v>46804.4</v>
      </c>
    </row>
    <row r="430" spans="1:9" s="96" customFormat="1" x14ac:dyDescent="0.25">
      <c r="A430" s="31" t="s">
        <v>383</v>
      </c>
      <c r="B430" s="13" t="s">
        <v>7</v>
      </c>
      <c r="C430" s="13" t="s">
        <v>58</v>
      </c>
      <c r="D430" s="13"/>
      <c r="E430" s="13"/>
      <c r="F430" s="14"/>
      <c r="G430" s="15">
        <f>SUM(G431+G440+G447)</f>
        <v>46804.6</v>
      </c>
    </row>
    <row r="431" spans="1:9" s="96" customFormat="1" ht="46.8" x14ac:dyDescent="0.25">
      <c r="A431" s="31" t="s">
        <v>450</v>
      </c>
      <c r="B431" s="13" t="s">
        <v>7</v>
      </c>
      <c r="C431" s="13" t="s">
        <v>58</v>
      </c>
      <c r="D431" s="13" t="s">
        <v>0</v>
      </c>
      <c r="E431" s="13"/>
      <c r="F431" s="14"/>
      <c r="G431" s="15">
        <f>SUM(G432+G438+G436)</f>
        <v>5646.2</v>
      </c>
    </row>
    <row r="432" spans="1:9" s="96" customFormat="1" x14ac:dyDescent="0.25">
      <c r="A432" s="31" t="s">
        <v>26</v>
      </c>
      <c r="B432" s="13" t="s">
        <v>7</v>
      </c>
      <c r="C432" s="13" t="s">
        <v>58</v>
      </c>
      <c r="D432" s="13" t="s">
        <v>0</v>
      </c>
      <c r="E432" s="13" t="s">
        <v>41</v>
      </c>
      <c r="F432" s="14"/>
      <c r="G432" s="15">
        <f>SUM(G433:G435)</f>
        <v>5627.3</v>
      </c>
    </row>
    <row r="433" spans="1:8" s="96" customFormat="1" ht="46.8" x14ac:dyDescent="0.25">
      <c r="A433" s="29" t="s">
        <v>114</v>
      </c>
      <c r="B433" s="13" t="s">
        <v>7</v>
      </c>
      <c r="C433" s="13" t="s">
        <v>58</v>
      </c>
      <c r="D433" s="13" t="s">
        <v>0</v>
      </c>
      <c r="E433" s="13" t="s">
        <v>41</v>
      </c>
      <c r="F433" s="14" t="s">
        <v>19</v>
      </c>
      <c r="G433" s="15">
        <f>5531.6-0.5+0.5</f>
        <v>5531.6</v>
      </c>
    </row>
    <row r="434" spans="1:8" s="96" customFormat="1" ht="31.2" x14ac:dyDescent="0.25">
      <c r="A434" s="29" t="s">
        <v>115</v>
      </c>
      <c r="B434" s="13" t="s">
        <v>7</v>
      </c>
      <c r="C434" s="13" t="s">
        <v>58</v>
      </c>
      <c r="D434" s="13" t="s">
        <v>0</v>
      </c>
      <c r="E434" s="13" t="s">
        <v>41</v>
      </c>
      <c r="F434" s="14" t="s">
        <v>20</v>
      </c>
      <c r="G434" s="15">
        <f>93.2+0.3</f>
        <v>93.5</v>
      </c>
    </row>
    <row r="435" spans="1:8" s="96" customFormat="1" x14ac:dyDescent="0.25">
      <c r="A435" s="29" t="s">
        <v>21</v>
      </c>
      <c r="B435" s="13" t="s">
        <v>7</v>
      </c>
      <c r="C435" s="13" t="s">
        <v>58</v>
      </c>
      <c r="D435" s="13" t="s">
        <v>0</v>
      </c>
      <c r="E435" s="13" t="s">
        <v>41</v>
      </c>
      <c r="F435" s="14" t="s">
        <v>22</v>
      </c>
      <c r="G435" s="15">
        <f>1.7+0.5</f>
        <v>2.2000000000000002</v>
      </c>
    </row>
    <row r="436" spans="1:8" s="96" customFormat="1" x14ac:dyDescent="0.25">
      <c r="A436" s="29" t="s">
        <v>228</v>
      </c>
      <c r="B436" s="13" t="s">
        <v>7</v>
      </c>
      <c r="C436" s="25">
        <v>1</v>
      </c>
      <c r="D436" s="13" t="s">
        <v>0</v>
      </c>
      <c r="E436" s="13" t="s">
        <v>229</v>
      </c>
      <c r="F436" s="13"/>
      <c r="G436" s="26">
        <f>SUM(G437)</f>
        <v>10.9</v>
      </c>
    </row>
    <row r="437" spans="1:8" s="96" customFormat="1" ht="31.2" x14ac:dyDescent="0.25">
      <c r="A437" s="29" t="s">
        <v>115</v>
      </c>
      <c r="B437" s="13" t="s">
        <v>7</v>
      </c>
      <c r="C437" s="25">
        <v>1</v>
      </c>
      <c r="D437" s="13" t="s">
        <v>0</v>
      </c>
      <c r="E437" s="13" t="s">
        <v>229</v>
      </c>
      <c r="F437" s="13" t="s">
        <v>20</v>
      </c>
      <c r="G437" s="26">
        <v>10.9</v>
      </c>
    </row>
    <row r="438" spans="1:8" s="96" customFormat="1" x14ac:dyDescent="0.25">
      <c r="A438" s="29" t="s">
        <v>234</v>
      </c>
      <c r="B438" s="13" t="s">
        <v>7</v>
      </c>
      <c r="C438" s="13" t="s">
        <v>58</v>
      </c>
      <c r="D438" s="13" t="s">
        <v>0</v>
      </c>
      <c r="E438" s="13" t="s">
        <v>235</v>
      </c>
      <c r="F438" s="14"/>
      <c r="G438" s="15">
        <f>SUM(G439)</f>
        <v>8</v>
      </c>
    </row>
    <row r="439" spans="1:8" s="96" customFormat="1" ht="31.2" x14ac:dyDescent="0.25">
      <c r="A439" s="29" t="s">
        <v>115</v>
      </c>
      <c r="B439" s="13" t="s">
        <v>7</v>
      </c>
      <c r="C439" s="13" t="s">
        <v>58</v>
      </c>
      <c r="D439" s="13" t="s">
        <v>0</v>
      </c>
      <c r="E439" s="13" t="s">
        <v>235</v>
      </c>
      <c r="F439" s="14" t="s">
        <v>20</v>
      </c>
      <c r="G439" s="15">
        <v>8</v>
      </c>
    </row>
    <row r="440" spans="1:8" s="96" customFormat="1" ht="31.2" x14ac:dyDescent="0.25">
      <c r="A440" s="31" t="s">
        <v>432</v>
      </c>
      <c r="B440" s="13" t="s">
        <v>7</v>
      </c>
      <c r="C440" s="13" t="s">
        <v>58</v>
      </c>
      <c r="D440" s="13" t="s">
        <v>1</v>
      </c>
      <c r="E440" s="13"/>
      <c r="F440" s="14"/>
      <c r="G440" s="15">
        <f>SUM(G441+G445)</f>
        <v>35133</v>
      </c>
    </row>
    <row r="441" spans="1:8" s="96" customFormat="1" ht="46.8" x14ac:dyDescent="0.25">
      <c r="A441" s="31" t="s">
        <v>28</v>
      </c>
      <c r="B441" s="13" t="s">
        <v>7</v>
      </c>
      <c r="C441" s="13" t="s">
        <v>58</v>
      </c>
      <c r="D441" s="13" t="s">
        <v>1</v>
      </c>
      <c r="E441" s="13" t="s">
        <v>51</v>
      </c>
      <c r="F441" s="14"/>
      <c r="G441" s="15">
        <f>SUM(G442:G444)</f>
        <v>34633</v>
      </c>
    </row>
    <row r="442" spans="1:8" s="96" customFormat="1" ht="46.8" x14ac:dyDescent="0.25">
      <c r="A442" s="29" t="s">
        <v>114</v>
      </c>
      <c r="B442" s="13" t="s">
        <v>7</v>
      </c>
      <c r="C442" s="13" t="s">
        <v>58</v>
      </c>
      <c r="D442" s="13" t="s">
        <v>1</v>
      </c>
      <c r="E442" s="13" t="s">
        <v>51</v>
      </c>
      <c r="F442" s="14" t="s">
        <v>19</v>
      </c>
      <c r="G442" s="15">
        <f>32994.6-1.5+1.5</f>
        <v>32994.6</v>
      </c>
    </row>
    <row r="443" spans="1:8" s="96" customFormat="1" ht="31.2" x14ac:dyDescent="0.25">
      <c r="A443" s="29" t="s">
        <v>115</v>
      </c>
      <c r="B443" s="13" t="s">
        <v>7</v>
      </c>
      <c r="C443" s="13" t="s">
        <v>58</v>
      </c>
      <c r="D443" s="13" t="s">
        <v>1</v>
      </c>
      <c r="E443" s="13" t="s">
        <v>51</v>
      </c>
      <c r="F443" s="14" t="s">
        <v>20</v>
      </c>
      <c r="G443" s="15">
        <f>1504.9+8.5+18.2-0.1</f>
        <v>1531.5000000000002</v>
      </c>
      <c r="H443" s="96">
        <v>500</v>
      </c>
    </row>
    <row r="444" spans="1:8" s="96" customFormat="1" x14ac:dyDescent="0.25">
      <c r="A444" s="29" t="s">
        <v>21</v>
      </c>
      <c r="B444" s="13" t="s">
        <v>7</v>
      </c>
      <c r="C444" s="13" t="s">
        <v>58</v>
      </c>
      <c r="D444" s="13" t="s">
        <v>1</v>
      </c>
      <c r="E444" s="13" t="s">
        <v>51</v>
      </c>
      <c r="F444" s="14" t="s">
        <v>22</v>
      </c>
      <c r="G444" s="15">
        <f>105.4+1.5</f>
        <v>106.9</v>
      </c>
    </row>
    <row r="445" spans="1:8" s="96" customFormat="1" ht="31.2" x14ac:dyDescent="0.25">
      <c r="A445" s="29" t="s">
        <v>323</v>
      </c>
      <c r="B445" s="13" t="s">
        <v>7</v>
      </c>
      <c r="C445" s="13" t="s">
        <v>58</v>
      </c>
      <c r="D445" s="13" t="s">
        <v>1</v>
      </c>
      <c r="E445" s="13" t="s">
        <v>259</v>
      </c>
      <c r="F445" s="14"/>
      <c r="G445" s="15">
        <f>G446</f>
        <v>500</v>
      </c>
    </row>
    <row r="446" spans="1:8" s="96" customFormat="1" ht="31.2" x14ac:dyDescent="0.25">
      <c r="A446" s="30" t="s">
        <v>116</v>
      </c>
      <c r="B446" s="13" t="s">
        <v>7</v>
      </c>
      <c r="C446" s="13" t="s">
        <v>58</v>
      </c>
      <c r="D446" s="13" t="s">
        <v>1</v>
      </c>
      <c r="E446" s="13" t="s">
        <v>259</v>
      </c>
      <c r="F446" s="14" t="s">
        <v>20</v>
      </c>
      <c r="G446" s="15">
        <v>500</v>
      </c>
    </row>
    <row r="447" spans="1:8" s="96" customFormat="1" ht="46.8" x14ac:dyDescent="0.25">
      <c r="A447" s="29" t="s">
        <v>433</v>
      </c>
      <c r="B447" s="13" t="s">
        <v>7</v>
      </c>
      <c r="C447" s="13" t="s">
        <v>58</v>
      </c>
      <c r="D447" s="13" t="s">
        <v>2</v>
      </c>
      <c r="E447" s="13"/>
      <c r="F447" s="14"/>
      <c r="G447" s="15">
        <f>G448+G451</f>
        <v>6025.4</v>
      </c>
    </row>
    <row r="448" spans="1:8" s="96" customFormat="1" x14ac:dyDescent="0.25">
      <c r="A448" s="29" t="s">
        <v>384</v>
      </c>
      <c r="B448" s="13" t="s">
        <v>7</v>
      </c>
      <c r="C448" s="13" t="s">
        <v>58</v>
      </c>
      <c r="D448" s="13" t="s">
        <v>2</v>
      </c>
      <c r="E448" s="13" t="s">
        <v>197</v>
      </c>
      <c r="F448" s="14"/>
      <c r="G448" s="15">
        <f>G450+G449</f>
        <v>6025.4</v>
      </c>
    </row>
    <row r="449" spans="1:8" s="96" customFormat="1" ht="46.8" x14ac:dyDescent="0.25">
      <c r="A449" s="29" t="s">
        <v>114</v>
      </c>
      <c r="B449" s="13" t="s">
        <v>7</v>
      </c>
      <c r="C449" s="13" t="s">
        <v>58</v>
      </c>
      <c r="D449" s="13" t="s">
        <v>2</v>
      </c>
      <c r="E449" s="13" t="s">
        <v>197</v>
      </c>
      <c r="F449" s="14" t="s">
        <v>19</v>
      </c>
      <c r="G449" s="15">
        <f>3287.9+0.1</f>
        <v>3288</v>
      </c>
      <c r="H449" s="96" t="s">
        <v>639</v>
      </c>
    </row>
    <row r="450" spans="1:8" s="96" customFormat="1" ht="31.2" x14ac:dyDescent="0.25">
      <c r="A450" s="29" t="s">
        <v>115</v>
      </c>
      <c r="B450" s="13" t="s">
        <v>7</v>
      </c>
      <c r="C450" s="13" t="s">
        <v>58</v>
      </c>
      <c r="D450" s="13" t="s">
        <v>2</v>
      </c>
      <c r="E450" s="13" t="s">
        <v>197</v>
      </c>
      <c r="F450" s="14" t="s">
        <v>20</v>
      </c>
      <c r="G450" s="15">
        <f>554+2183.4</f>
        <v>2737.4</v>
      </c>
    </row>
    <row r="451" spans="1:8" s="96" customFormat="1" ht="31.2" x14ac:dyDescent="0.25">
      <c r="A451" s="29" t="s">
        <v>323</v>
      </c>
      <c r="B451" s="13" t="s">
        <v>7</v>
      </c>
      <c r="C451" s="13" t="s">
        <v>58</v>
      </c>
      <c r="D451" s="13" t="s">
        <v>2</v>
      </c>
      <c r="E451" s="13" t="s">
        <v>259</v>
      </c>
      <c r="F451" s="14"/>
      <c r="G451" s="15">
        <f>SUM(G452)</f>
        <v>0</v>
      </c>
    </row>
    <row r="452" spans="1:8" s="96" customFormat="1" ht="31.2" x14ac:dyDescent="0.25">
      <c r="A452" s="30" t="s">
        <v>116</v>
      </c>
      <c r="B452" s="13" t="s">
        <v>7</v>
      </c>
      <c r="C452" s="13" t="s">
        <v>58</v>
      </c>
      <c r="D452" s="13" t="s">
        <v>2</v>
      </c>
      <c r="E452" s="13" t="s">
        <v>259</v>
      </c>
      <c r="F452" s="14" t="s">
        <v>111</v>
      </c>
      <c r="G452" s="15"/>
    </row>
    <row r="453" spans="1:8" s="96" customFormat="1" ht="31.2" x14ac:dyDescent="0.25">
      <c r="A453" s="31" t="s">
        <v>385</v>
      </c>
      <c r="B453" s="13" t="s">
        <v>8</v>
      </c>
      <c r="C453" s="13"/>
      <c r="D453" s="13"/>
      <c r="E453" s="13"/>
      <c r="F453" s="14"/>
      <c r="G453" s="15">
        <f>SUM(G454)</f>
        <v>60908.800000000003</v>
      </c>
    </row>
    <row r="454" spans="1:8" s="96" customFormat="1" ht="31.2" x14ac:dyDescent="0.25">
      <c r="A454" s="31" t="s">
        <v>493</v>
      </c>
      <c r="B454" s="13" t="s">
        <v>8</v>
      </c>
      <c r="C454" s="13" t="s">
        <v>58</v>
      </c>
      <c r="D454" s="13"/>
      <c r="E454" s="13"/>
      <c r="F454" s="13"/>
      <c r="G454" s="15">
        <f>SUM(G455)</f>
        <v>60908.800000000003</v>
      </c>
    </row>
    <row r="455" spans="1:8" s="96" customFormat="1" x14ac:dyDescent="0.25">
      <c r="A455" s="31" t="s">
        <v>97</v>
      </c>
      <c r="B455" s="13" t="s">
        <v>8</v>
      </c>
      <c r="C455" s="13" t="s">
        <v>58</v>
      </c>
      <c r="D455" s="13" t="s">
        <v>0</v>
      </c>
      <c r="E455" s="13"/>
      <c r="F455" s="13"/>
      <c r="G455" s="15">
        <f>SUM(G481+G461+G478+G475+G458+G466+G469+G473+G464+G471+G456)</f>
        <v>60908.800000000003</v>
      </c>
    </row>
    <row r="456" spans="1:8" s="96" customFormat="1" ht="31.2" x14ac:dyDescent="0.25">
      <c r="A456" s="30" t="s">
        <v>527</v>
      </c>
      <c r="B456" s="13" t="s">
        <v>8</v>
      </c>
      <c r="C456" s="13" t="s">
        <v>58</v>
      </c>
      <c r="D456" s="13" t="s">
        <v>0</v>
      </c>
      <c r="E456" s="13" t="s">
        <v>528</v>
      </c>
      <c r="F456" s="13"/>
      <c r="G456" s="15">
        <f>SUM(G457)</f>
        <v>150</v>
      </c>
    </row>
    <row r="457" spans="1:8" s="96" customFormat="1" ht="31.2" x14ac:dyDescent="0.25">
      <c r="A457" s="29" t="s">
        <v>115</v>
      </c>
      <c r="B457" s="13" t="s">
        <v>8</v>
      </c>
      <c r="C457" s="13" t="s">
        <v>58</v>
      </c>
      <c r="D457" s="13" t="s">
        <v>0</v>
      </c>
      <c r="E457" s="13" t="s">
        <v>528</v>
      </c>
      <c r="F457" s="13" t="s">
        <v>20</v>
      </c>
      <c r="G457" s="15">
        <f>150</f>
        <v>150</v>
      </c>
    </row>
    <row r="458" spans="1:8" s="96" customFormat="1" ht="78" x14ac:dyDescent="0.25">
      <c r="A458" s="33" t="s">
        <v>188</v>
      </c>
      <c r="B458" s="13" t="s">
        <v>8</v>
      </c>
      <c r="C458" s="13" t="s">
        <v>58</v>
      </c>
      <c r="D458" s="13" t="s">
        <v>0</v>
      </c>
      <c r="E458" s="13" t="s">
        <v>250</v>
      </c>
      <c r="F458" s="13"/>
      <c r="G458" s="15">
        <f>SUM(G459:G460)</f>
        <v>31406.2</v>
      </c>
    </row>
    <row r="459" spans="1:8" s="96" customFormat="1" ht="31.2" x14ac:dyDescent="0.25">
      <c r="A459" s="29" t="s">
        <v>115</v>
      </c>
      <c r="B459" s="13" t="s">
        <v>8</v>
      </c>
      <c r="C459" s="13" t="s">
        <v>58</v>
      </c>
      <c r="D459" s="13" t="s">
        <v>0</v>
      </c>
      <c r="E459" s="13" t="s">
        <v>250</v>
      </c>
      <c r="F459" s="13" t="s">
        <v>20</v>
      </c>
      <c r="G459" s="15">
        <f>310</f>
        <v>310</v>
      </c>
    </row>
    <row r="460" spans="1:8" s="96" customFormat="1" x14ac:dyDescent="0.25">
      <c r="A460" s="29" t="s">
        <v>117</v>
      </c>
      <c r="B460" s="13" t="s">
        <v>8</v>
      </c>
      <c r="C460" s="13" t="s">
        <v>58</v>
      </c>
      <c r="D460" s="13" t="s">
        <v>0</v>
      </c>
      <c r="E460" s="13" t="s">
        <v>250</v>
      </c>
      <c r="F460" s="13" t="s">
        <v>109</v>
      </c>
      <c r="G460" s="15">
        <f>31331.2-235</f>
        <v>31096.2</v>
      </c>
    </row>
    <row r="461" spans="1:8" s="96" customFormat="1" ht="49.2" customHeight="1" x14ac:dyDescent="0.25">
      <c r="A461" s="39" t="s">
        <v>271</v>
      </c>
      <c r="B461" s="13" t="s">
        <v>8</v>
      </c>
      <c r="C461" s="13" t="s">
        <v>58</v>
      </c>
      <c r="D461" s="13" t="s">
        <v>0</v>
      </c>
      <c r="E461" s="13" t="s">
        <v>268</v>
      </c>
      <c r="F461" s="13"/>
      <c r="G461" s="15">
        <f>SUM(G462:G463)</f>
        <v>115</v>
      </c>
    </row>
    <row r="462" spans="1:8" s="96" customFormat="1" ht="31.95" customHeight="1" x14ac:dyDescent="0.25">
      <c r="A462" s="29" t="s">
        <v>115</v>
      </c>
      <c r="B462" s="13" t="s">
        <v>8</v>
      </c>
      <c r="C462" s="13" t="s">
        <v>58</v>
      </c>
      <c r="D462" s="13" t="s">
        <v>0</v>
      </c>
      <c r="E462" s="13" t="s">
        <v>268</v>
      </c>
      <c r="F462" s="13" t="s">
        <v>20</v>
      </c>
      <c r="G462" s="15"/>
    </row>
    <row r="463" spans="1:8" s="96" customFormat="1" ht="17.25" customHeight="1" x14ac:dyDescent="0.25">
      <c r="A463" s="29" t="s">
        <v>117</v>
      </c>
      <c r="B463" s="13" t="s">
        <v>8</v>
      </c>
      <c r="C463" s="13" t="s">
        <v>58</v>
      </c>
      <c r="D463" s="13" t="s">
        <v>0</v>
      </c>
      <c r="E463" s="13" t="s">
        <v>268</v>
      </c>
      <c r="F463" s="13" t="s">
        <v>109</v>
      </c>
      <c r="G463" s="15">
        <v>115</v>
      </c>
    </row>
    <row r="464" spans="1:8" s="96" customFormat="1" ht="81" customHeight="1" x14ac:dyDescent="0.25">
      <c r="A464" s="39" t="s">
        <v>146</v>
      </c>
      <c r="B464" s="13" t="s">
        <v>8</v>
      </c>
      <c r="C464" s="13" t="s">
        <v>58</v>
      </c>
      <c r="D464" s="13" t="s">
        <v>0</v>
      </c>
      <c r="E464" s="13" t="s">
        <v>252</v>
      </c>
      <c r="F464" s="13"/>
      <c r="G464" s="15">
        <f>G465</f>
        <v>72.7</v>
      </c>
    </row>
    <row r="465" spans="1:7" s="96" customFormat="1" ht="36" customHeight="1" x14ac:dyDescent="0.25">
      <c r="A465" s="29" t="s">
        <v>115</v>
      </c>
      <c r="B465" s="13" t="s">
        <v>8</v>
      </c>
      <c r="C465" s="13" t="s">
        <v>58</v>
      </c>
      <c r="D465" s="13" t="s">
        <v>0</v>
      </c>
      <c r="E465" s="13" t="s">
        <v>252</v>
      </c>
      <c r="F465" s="13" t="s">
        <v>20</v>
      </c>
      <c r="G465" s="15">
        <v>72.7</v>
      </c>
    </row>
    <row r="466" spans="1:7" s="96" customFormat="1" ht="46.2" customHeight="1" x14ac:dyDescent="0.25">
      <c r="A466" s="30" t="s">
        <v>189</v>
      </c>
      <c r="B466" s="13" t="s">
        <v>8</v>
      </c>
      <c r="C466" s="13" t="s">
        <v>58</v>
      </c>
      <c r="D466" s="13" t="s">
        <v>0</v>
      </c>
      <c r="E466" s="13" t="s">
        <v>251</v>
      </c>
      <c r="F466" s="13"/>
      <c r="G466" s="15">
        <f>SUM(G467:G468)</f>
        <v>15436.8</v>
      </c>
    </row>
    <row r="467" spans="1:7" s="96" customFormat="1" ht="37.200000000000003" customHeight="1" x14ac:dyDescent="0.25">
      <c r="A467" s="29" t="s">
        <v>115</v>
      </c>
      <c r="B467" s="13" t="s">
        <v>8</v>
      </c>
      <c r="C467" s="13" t="s">
        <v>58</v>
      </c>
      <c r="D467" s="13" t="s">
        <v>0</v>
      </c>
      <c r="E467" s="13" t="s">
        <v>251</v>
      </c>
      <c r="F467" s="13" t="s">
        <v>20</v>
      </c>
      <c r="G467" s="15">
        <v>200</v>
      </c>
    </row>
    <row r="468" spans="1:7" s="96" customFormat="1" ht="18" customHeight="1" x14ac:dyDescent="0.25">
      <c r="A468" s="29" t="s">
        <v>117</v>
      </c>
      <c r="B468" s="13" t="s">
        <v>8</v>
      </c>
      <c r="C468" s="13" t="s">
        <v>58</v>
      </c>
      <c r="D468" s="13" t="s">
        <v>0</v>
      </c>
      <c r="E468" s="13" t="s">
        <v>251</v>
      </c>
      <c r="F468" s="13" t="s">
        <v>109</v>
      </c>
      <c r="G468" s="15">
        <v>15236.8</v>
      </c>
    </row>
    <row r="469" spans="1:7" s="96" customFormat="1" ht="63" customHeight="1" x14ac:dyDescent="0.25">
      <c r="A469" s="39" t="s">
        <v>272</v>
      </c>
      <c r="B469" s="13" t="s">
        <v>8</v>
      </c>
      <c r="C469" s="13" t="s">
        <v>58</v>
      </c>
      <c r="D469" s="13" t="s">
        <v>0</v>
      </c>
      <c r="E469" s="13" t="s">
        <v>269</v>
      </c>
      <c r="F469" s="13"/>
      <c r="G469" s="15">
        <f>G470</f>
        <v>120</v>
      </c>
    </row>
    <row r="470" spans="1:7" s="96" customFormat="1" ht="16.95" customHeight="1" x14ac:dyDescent="0.25">
      <c r="A470" s="29" t="s">
        <v>117</v>
      </c>
      <c r="B470" s="13" t="s">
        <v>8</v>
      </c>
      <c r="C470" s="13" t="s">
        <v>58</v>
      </c>
      <c r="D470" s="13" t="s">
        <v>0</v>
      </c>
      <c r="E470" s="13" t="s">
        <v>269</v>
      </c>
      <c r="F470" s="13" t="s">
        <v>109</v>
      </c>
      <c r="G470" s="15">
        <v>120</v>
      </c>
    </row>
    <row r="471" spans="1:7" s="96" customFormat="1" ht="146.25" customHeight="1" x14ac:dyDescent="0.25">
      <c r="A471" s="29" t="s">
        <v>303</v>
      </c>
      <c r="B471" s="13" t="s">
        <v>8</v>
      </c>
      <c r="C471" s="13" t="s">
        <v>58</v>
      </c>
      <c r="D471" s="13" t="s">
        <v>0</v>
      </c>
      <c r="E471" s="13" t="s">
        <v>304</v>
      </c>
      <c r="F471" s="13"/>
      <c r="G471" s="15">
        <f>SUM(G472)</f>
        <v>0</v>
      </c>
    </row>
    <row r="472" spans="1:7" s="96" customFormat="1" ht="17.399999999999999" customHeight="1" x14ac:dyDescent="0.25">
      <c r="A472" s="29" t="s">
        <v>117</v>
      </c>
      <c r="B472" s="13" t="s">
        <v>8</v>
      </c>
      <c r="C472" s="13" t="s">
        <v>58</v>
      </c>
      <c r="D472" s="13" t="s">
        <v>0</v>
      </c>
      <c r="E472" s="13" t="s">
        <v>304</v>
      </c>
      <c r="F472" s="13" t="s">
        <v>109</v>
      </c>
      <c r="G472" s="15"/>
    </row>
    <row r="473" spans="1:7" s="96" customFormat="1" ht="95.25" customHeight="1" x14ac:dyDescent="0.25">
      <c r="A473" s="39" t="s">
        <v>273</v>
      </c>
      <c r="B473" s="13" t="s">
        <v>8</v>
      </c>
      <c r="C473" s="13" t="s">
        <v>58</v>
      </c>
      <c r="D473" s="13" t="s">
        <v>0</v>
      </c>
      <c r="E473" s="13" t="s">
        <v>270</v>
      </c>
      <c r="F473" s="13"/>
      <c r="G473" s="15">
        <f>G474</f>
        <v>0</v>
      </c>
    </row>
    <row r="474" spans="1:7" s="96" customFormat="1" ht="19.2" customHeight="1" x14ac:dyDescent="0.25">
      <c r="A474" s="29" t="s">
        <v>117</v>
      </c>
      <c r="B474" s="13" t="s">
        <v>8</v>
      </c>
      <c r="C474" s="13" t="s">
        <v>58</v>
      </c>
      <c r="D474" s="13" t="s">
        <v>0</v>
      </c>
      <c r="E474" s="13" t="s">
        <v>270</v>
      </c>
      <c r="F474" s="13" t="s">
        <v>109</v>
      </c>
      <c r="G474" s="15"/>
    </row>
    <row r="475" spans="1:7" s="96" customFormat="1" ht="129.75" customHeight="1" x14ac:dyDescent="0.25">
      <c r="A475" s="32" t="s">
        <v>191</v>
      </c>
      <c r="B475" s="13" t="s">
        <v>8</v>
      </c>
      <c r="C475" s="13" t="s">
        <v>58</v>
      </c>
      <c r="D475" s="13" t="s">
        <v>0</v>
      </c>
      <c r="E475" s="13" t="s">
        <v>255</v>
      </c>
      <c r="F475" s="13"/>
      <c r="G475" s="15">
        <f>SUM(G476:G477)</f>
        <v>1255.4000000000001</v>
      </c>
    </row>
    <row r="476" spans="1:7" s="96" customFormat="1" ht="49.5" customHeight="1" x14ac:dyDescent="0.25">
      <c r="A476" s="29" t="s">
        <v>114</v>
      </c>
      <c r="B476" s="13" t="s">
        <v>8</v>
      </c>
      <c r="C476" s="13" t="s">
        <v>58</v>
      </c>
      <c r="D476" s="13" t="s">
        <v>0</v>
      </c>
      <c r="E476" s="13" t="s">
        <v>255</v>
      </c>
      <c r="F476" s="13" t="s">
        <v>19</v>
      </c>
      <c r="G476" s="15">
        <v>1087</v>
      </c>
    </row>
    <row r="477" spans="1:7" s="96" customFormat="1" ht="31.2" x14ac:dyDescent="0.25">
      <c r="A477" s="29" t="s">
        <v>115</v>
      </c>
      <c r="B477" s="13" t="s">
        <v>8</v>
      </c>
      <c r="C477" s="13" t="s">
        <v>58</v>
      </c>
      <c r="D477" s="13" t="s">
        <v>0</v>
      </c>
      <c r="E477" s="13" t="s">
        <v>255</v>
      </c>
      <c r="F477" s="13" t="s">
        <v>20</v>
      </c>
      <c r="G477" s="15">
        <v>168.4</v>
      </c>
    </row>
    <row r="478" spans="1:7" s="96" customFormat="1" ht="46.8" x14ac:dyDescent="0.25">
      <c r="A478" s="31" t="s">
        <v>249</v>
      </c>
      <c r="B478" s="13" t="s">
        <v>8</v>
      </c>
      <c r="C478" s="13" t="s">
        <v>58</v>
      </c>
      <c r="D478" s="13" t="s">
        <v>0</v>
      </c>
      <c r="E478" s="13" t="s">
        <v>254</v>
      </c>
      <c r="F478" s="13"/>
      <c r="G478" s="15">
        <f>SUM(G479:G480)</f>
        <v>933.6</v>
      </c>
    </row>
    <row r="479" spans="1:7" s="96" customFormat="1" ht="48.6" customHeight="1" x14ac:dyDescent="0.25">
      <c r="A479" s="29" t="s">
        <v>114</v>
      </c>
      <c r="B479" s="13" t="s">
        <v>8</v>
      </c>
      <c r="C479" s="13" t="s">
        <v>58</v>
      </c>
      <c r="D479" s="13" t="s">
        <v>0</v>
      </c>
      <c r="E479" s="13" t="s">
        <v>254</v>
      </c>
      <c r="F479" s="13" t="s">
        <v>19</v>
      </c>
      <c r="G479" s="15">
        <v>849.4</v>
      </c>
    </row>
    <row r="480" spans="1:7" s="96" customFormat="1" ht="31.2" x14ac:dyDescent="0.25">
      <c r="A480" s="29" t="s">
        <v>115</v>
      </c>
      <c r="B480" s="13" t="s">
        <v>8</v>
      </c>
      <c r="C480" s="13" t="s">
        <v>58</v>
      </c>
      <c r="D480" s="13" t="s">
        <v>0</v>
      </c>
      <c r="E480" s="13" t="s">
        <v>254</v>
      </c>
      <c r="F480" s="13" t="s">
        <v>20</v>
      </c>
      <c r="G480" s="15">
        <v>84.2</v>
      </c>
    </row>
    <row r="481" spans="1:8" s="96" customFormat="1" ht="46.8" x14ac:dyDescent="0.25">
      <c r="A481" s="31" t="s">
        <v>190</v>
      </c>
      <c r="B481" s="13" t="s">
        <v>8</v>
      </c>
      <c r="C481" s="13" t="s">
        <v>58</v>
      </c>
      <c r="D481" s="13" t="s">
        <v>0</v>
      </c>
      <c r="E481" s="13" t="s">
        <v>253</v>
      </c>
      <c r="F481" s="13"/>
      <c r="G481" s="15">
        <f>SUM(G482:G483)</f>
        <v>11419.1</v>
      </c>
    </row>
    <row r="482" spans="1:8" s="96" customFormat="1" ht="49.2" customHeight="1" x14ac:dyDescent="0.25">
      <c r="A482" s="29" t="s">
        <v>114</v>
      </c>
      <c r="B482" s="13" t="s">
        <v>8</v>
      </c>
      <c r="C482" s="13" t="s">
        <v>58</v>
      </c>
      <c r="D482" s="13" t="s">
        <v>0</v>
      </c>
      <c r="E482" s="13" t="s">
        <v>253</v>
      </c>
      <c r="F482" s="13" t="s">
        <v>19</v>
      </c>
      <c r="G482" s="15">
        <v>10492.9</v>
      </c>
    </row>
    <row r="483" spans="1:8" s="96" customFormat="1" ht="31.2" x14ac:dyDescent="0.25">
      <c r="A483" s="29" t="s">
        <v>115</v>
      </c>
      <c r="B483" s="13" t="s">
        <v>8</v>
      </c>
      <c r="C483" s="13" t="s">
        <v>58</v>
      </c>
      <c r="D483" s="13" t="s">
        <v>0</v>
      </c>
      <c r="E483" s="13" t="s">
        <v>253</v>
      </c>
      <c r="F483" s="13" t="s">
        <v>20</v>
      </c>
      <c r="G483" s="15">
        <v>926.2</v>
      </c>
    </row>
    <row r="484" spans="1:8" x14ac:dyDescent="0.25">
      <c r="A484" s="29" t="s">
        <v>453</v>
      </c>
      <c r="B484" s="13" t="s">
        <v>282</v>
      </c>
      <c r="C484" s="13"/>
      <c r="D484" s="13"/>
      <c r="E484" s="13"/>
      <c r="F484" s="13"/>
      <c r="G484" s="15">
        <f>SUM(G485+G503+G515)</f>
        <v>178409.60000000003</v>
      </c>
    </row>
    <row r="485" spans="1:8" s="96" customFormat="1" ht="31.2" x14ac:dyDescent="0.25">
      <c r="A485" s="29" t="s">
        <v>551</v>
      </c>
      <c r="B485" s="13" t="s">
        <v>282</v>
      </c>
      <c r="C485" s="13" t="s">
        <v>58</v>
      </c>
      <c r="D485" s="13"/>
      <c r="E485" s="13"/>
      <c r="F485" s="13"/>
      <c r="G485" s="15">
        <f>SUM(G486)</f>
        <v>72037.000000000015</v>
      </c>
    </row>
    <row r="486" spans="1:8" s="96" customFormat="1" ht="51.75" customHeight="1" x14ac:dyDescent="0.25">
      <c r="A486" s="29" t="s">
        <v>563</v>
      </c>
      <c r="B486" s="13" t="s">
        <v>282</v>
      </c>
      <c r="C486" s="13" t="s">
        <v>58</v>
      </c>
      <c r="D486" s="13" t="s">
        <v>0</v>
      </c>
      <c r="E486" s="13"/>
      <c r="F486" s="13"/>
      <c r="G486" s="15">
        <f>SUM(G487+G491+G497+G499+G501+G495)</f>
        <v>72037.000000000015</v>
      </c>
    </row>
    <row r="487" spans="1:8" s="96" customFormat="1" x14ac:dyDescent="0.25">
      <c r="A487" s="29" t="s">
        <v>17</v>
      </c>
      <c r="B487" s="13" t="s">
        <v>282</v>
      </c>
      <c r="C487" s="13" t="s">
        <v>58</v>
      </c>
      <c r="D487" s="13" t="s">
        <v>0</v>
      </c>
      <c r="E487" s="13" t="s">
        <v>41</v>
      </c>
      <c r="F487" s="13"/>
      <c r="G487" s="15">
        <f>SUM(G488:G490)</f>
        <v>9526.5000000000018</v>
      </c>
    </row>
    <row r="488" spans="1:8" s="96" customFormat="1" ht="46.8" x14ac:dyDescent="0.25">
      <c r="A488" s="29" t="s">
        <v>114</v>
      </c>
      <c r="B488" s="13" t="s">
        <v>282</v>
      </c>
      <c r="C488" s="13" t="s">
        <v>58</v>
      </c>
      <c r="D488" s="13" t="s">
        <v>0</v>
      </c>
      <c r="E488" s="13" t="s">
        <v>41</v>
      </c>
      <c r="F488" s="13" t="s">
        <v>19</v>
      </c>
      <c r="G488" s="15">
        <f>9382.1+13.2-150</f>
        <v>9245.3000000000011</v>
      </c>
    </row>
    <row r="489" spans="1:8" s="96" customFormat="1" ht="31.2" x14ac:dyDescent="0.25">
      <c r="A489" s="29" t="s">
        <v>115</v>
      </c>
      <c r="B489" s="13" t="s">
        <v>282</v>
      </c>
      <c r="C489" s="13" t="s">
        <v>58</v>
      </c>
      <c r="D489" s="13" t="s">
        <v>0</v>
      </c>
      <c r="E489" s="13" t="s">
        <v>41</v>
      </c>
      <c r="F489" s="13" t="s">
        <v>20</v>
      </c>
      <c r="G489" s="15">
        <f>135.9-0.5+0.5-13.2</f>
        <v>122.7</v>
      </c>
    </row>
    <row r="490" spans="1:8" s="96" customFormat="1" x14ac:dyDescent="0.25">
      <c r="A490" s="29" t="s">
        <v>21</v>
      </c>
      <c r="B490" s="13" t="s">
        <v>282</v>
      </c>
      <c r="C490" s="13" t="s">
        <v>58</v>
      </c>
      <c r="D490" s="13" t="s">
        <v>0</v>
      </c>
      <c r="E490" s="13" t="s">
        <v>41</v>
      </c>
      <c r="F490" s="13" t="s">
        <v>22</v>
      </c>
      <c r="G490" s="15">
        <f>8+0.5+150</f>
        <v>158.5</v>
      </c>
    </row>
    <row r="491" spans="1:8" s="96" customFormat="1" ht="46.8" x14ac:dyDescent="0.25">
      <c r="A491" s="29" t="s">
        <v>28</v>
      </c>
      <c r="B491" s="13" t="s">
        <v>282</v>
      </c>
      <c r="C491" s="13" t="s">
        <v>58</v>
      </c>
      <c r="D491" s="13" t="s">
        <v>0</v>
      </c>
      <c r="E491" s="13" t="s">
        <v>51</v>
      </c>
      <c r="F491" s="13"/>
      <c r="G491" s="15">
        <f>SUM(G492:G494)</f>
        <v>61664.3</v>
      </c>
    </row>
    <row r="492" spans="1:8" s="96" customFormat="1" ht="46.8" x14ac:dyDescent="0.25">
      <c r="A492" s="29" t="s">
        <v>114</v>
      </c>
      <c r="B492" s="13" t="s">
        <v>282</v>
      </c>
      <c r="C492" s="13" t="s">
        <v>58</v>
      </c>
      <c r="D492" s="13" t="s">
        <v>0</v>
      </c>
      <c r="E492" s="13" t="s">
        <v>51</v>
      </c>
      <c r="F492" s="13" t="s">
        <v>19</v>
      </c>
      <c r="G492" s="15">
        <v>5889.4</v>
      </c>
    </row>
    <row r="493" spans="1:8" s="96" customFormat="1" ht="31.2" x14ac:dyDescent="0.25">
      <c r="A493" s="29" t="s">
        <v>115</v>
      </c>
      <c r="B493" s="13" t="s">
        <v>282</v>
      </c>
      <c r="C493" s="13" t="s">
        <v>58</v>
      </c>
      <c r="D493" s="13" t="s">
        <v>0</v>
      </c>
      <c r="E493" s="13" t="s">
        <v>51</v>
      </c>
      <c r="F493" s="13" t="s">
        <v>20</v>
      </c>
      <c r="G493" s="15">
        <f>6044.9-5889.4+600-600</f>
        <v>155.5</v>
      </c>
    </row>
    <row r="494" spans="1:8" s="96" customFormat="1" ht="31.2" x14ac:dyDescent="0.25">
      <c r="A494" s="30" t="s">
        <v>116</v>
      </c>
      <c r="B494" s="13" t="s">
        <v>282</v>
      </c>
      <c r="C494" s="13" t="s">
        <v>58</v>
      </c>
      <c r="D494" s="13" t="s">
        <v>0</v>
      </c>
      <c r="E494" s="13" t="s">
        <v>51</v>
      </c>
      <c r="F494" s="13" t="s">
        <v>111</v>
      </c>
      <c r="G494" s="15">
        <f>55619.4</f>
        <v>55619.4</v>
      </c>
    </row>
    <row r="495" spans="1:8" s="96" customFormat="1" ht="38.25" customHeight="1" x14ac:dyDescent="0.25">
      <c r="A495" s="30" t="s">
        <v>641</v>
      </c>
      <c r="B495" s="13" t="s">
        <v>282</v>
      </c>
      <c r="C495" s="13" t="s">
        <v>58</v>
      </c>
      <c r="D495" s="13" t="s">
        <v>0</v>
      </c>
      <c r="E495" s="13" t="s">
        <v>640</v>
      </c>
      <c r="F495" s="13"/>
      <c r="G495" s="15">
        <f>G496</f>
        <v>688.5</v>
      </c>
      <c r="H495" s="96" t="s">
        <v>639</v>
      </c>
    </row>
    <row r="496" spans="1:8" s="96" customFormat="1" ht="31.2" x14ac:dyDescent="0.25">
      <c r="A496" s="29" t="s">
        <v>115</v>
      </c>
      <c r="B496" s="13" t="s">
        <v>282</v>
      </c>
      <c r="C496" s="13" t="s">
        <v>58</v>
      </c>
      <c r="D496" s="13" t="s">
        <v>0</v>
      </c>
      <c r="E496" s="13" t="s">
        <v>640</v>
      </c>
      <c r="F496" s="13" t="s">
        <v>20</v>
      </c>
      <c r="G496" s="15">
        <v>688.5</v>
      </c>
    </row>
    <row r="497" spans="1:7" s="96" customFormat="1" x14ac:dyDescent="0.25">
      <c r="A497" s="29" t="s">
        <v>228</v>
      </c>
      <c r="B497" s="13" t="s">
        <v>282</v>
      </c>
      <c r="C497" s="13" t="s">
        <v>58</v>
      </c>
      <c r="D497" s="13" t="s">
        <v>0</v>
      </c>
      <c r="E497" s="13" t="s">
        <v>229</v>
      </c>
      <c r="F497" s="13"/>
      <c r="G497" s="15">
        <f>SUM(G498)</f>
        <v>16.600000000000001</v>
      </c>
    </row>
    <row r="498" spans="1:7" s="96" customFormat="1" ht="31.2" x14ac:dyDescent="0.25">
      <c r="A498" s="29" t="s">
        <v>115</v>
      </c>
      <c r="B498" s="13" t="s">
        <v>282</v>
      </c>
      <c r="C498" s="13" t="s">
        <v>58</v>
      </c>
      <c r="D498" s="13" t="s">
        <v>0</v>
      </c>
      <c r="E498" s="13" t="s">
        <v>229</v>
      </c>
      <c r="F498" s="13" t="s">
        <v>20</v>
      </c>
      <c r="G498" s="15">
        <v>16.600000000000001</v>
      </c>
    </row>
    <row r="499" spans="1:7" s="96" customFormat="1" x14ac:dyDescent="0.25">
      <c r="A499" s="29" t="s">
        <v>234</v>
      </c>
      <c r="B499" s="13" t="s">
        <v>282</v>
      </c>
      <c r="C499" s="13" t="s">
        <v>58</v>
      </c>
      <c r="D499" s="13" t="s">
        <v>0</v>
      </c>
      <c r="E499" s="13" t="s">
        <v>235</v>
      </c>
      <c r="F499" s="13"/>
      <c r="G499" s="15">
        <f>SUM(G500)</f>
        <v>25.1</v>
      </c>
    </row>
    <row r="500" spans="1:7" s="96" customFormat="1" ht="31.2" x14ac:dyDescent="0.25">
      <c r="A500" s="29" t="s">
        <v>115</v>
      </c>
      <c r="B500" s="13" t="s">
        <v>282</v>
      </c>
      <c r="C500" s="13" t="s">
        <v>58</v>
      </c>
      <c r="D500" s="13" t="s">
        <v>0</v>
      </c>
      <c r="E500" s="13" t="s">
        <v>235</v>
      </c>
      <c r="F500" s="13" t="s">
        <v>20</v>
      </c>
      <c r="G500" s="15">
        <v>25.1</v>
      </c>
    </row>
    <row r="501" spans="1:7" s="96" customFormat="1" ht="31.2" x14ac:dyDescent="0.25">
      <c r="A501" s="29" t="s">
        <v>232</v>
      </c>
      <c r="B501" s="13" t="s">
        <v>282</v>
      </c>
      <c r="C501" s="13" t="s">
        <v>58</v>
      </c>
      <c r="D501" s="13" t="s">
        <v>0</v>
      </c>
      <c r="E501" s="13" t="s">
        <v>233</v>
      </c>
      <c r="F501" s="13"/>
      <c r="G501" s="15">
        <f>SUM(G502)</f>
        <v>116</v>
      </c>
    </row>
    <row r="502" spans="1:7" s="96" customFormat="1" ht="31.2" x14ac:dyDescent="0.25">
      <c r="A502" s="29" t="s">
        <v>115</v>
      </c>
      <c r="B502" s="13" t="s">
        <v>282</v>
      </c>
      <c r="C502" s="13" t="s">
        <v>58</v>
      </c>
      <c r="D502" s="13" t="s">
        <v>0</v>
      </c>
      <c r="E502" s="13" t="s">
        <v>233</v>
      </c>
      <c r="F502" s="13" t="s">
        <v>20</v>
      </c>
      <c r="G502" s="15">
        <v>116</v>
      </c>
    </row>
    <row r="503" spans="1:7" s="96" customFormat="1" ht="46.8" x14ac:dyDescent="0.25">
      <c r="A503" s="29" t="s">
        <v>523</v>
      </c>
      <c r="B503" s="13" t="s">
        <v>282</v>
      </c>
      <c r="C503" s="25">
        <v>2</v>
      </c>
      <c r="D503" s="13"/>
      <c r="E503" s="13"/>
      <c r="F503" s="13"/>
      <c r="G503" s="15">
        <f>SUM(G504)</f>
        <v>104572.6</v>
      </c>
    </row>
    <row r="504" spans="1:7" s="96" customFormat="1" x14ac:dyDescent="0.25">
      <c r="A504" s="29" t="s">
        <v>524</v>
      </c>
      <c r="B504" s="13" t="s">
        <v>282</v>
      </c>
      <c r="C504" s="25">
        <v>2</v>
      </c>
      <c r="D504" s="13" t="s">
        <v>0</v>
      </c>
      <c r="E504" s="13"/>
      <c r="F504" s="13"/>
      <c r="G504" s="15">
        <f>SUM(G505+G509+G511+G513)</f>
        <v>104572.6</v>
      </c>
    </row>
    <row r="505" spans="1:7" s="96" customFormat="1" ht="62.4" x14ac:dyDescent="0.25">
      <c r="A505" s="29" t="s">
        <v>525</v>
      </c>
      <c r="B505" s="13" t="s">
        <v>282</v>
      </c>
      <c r="C505" s="25">
        <v>2</v>
      </c>
      <c r="D505" s="13" t="s">
        <v>0</v>
      </c>
      <c r="E505" s="13" t="s">
        <v>526</v>
      </c>
      <c r="F505" s="13"/>
      <c r="G505" s="15">
        <f>G507+G508+G506</f>
        <v>100373.8</v>
      </c>
    </row>
    <row r="506" spans="1:7" s="96" customFormat="1" ht="31.2" x14ac:dyDescent="0.25">
      <c r="A506" s="29" t="s">
        <v>115</v>
      </c>
      <c r="B506" s="13" t="s">
        <v>282</v>
      </c>
      <c r="C506" s="25">
        <v>2</v>
      </c>
      <c r="D506" s="13" t="s">
        <v>0</v>
      </c>
      <c r="E506" s="13" t="s">
        <v>526</v>
      </c>
      <c r="F506" s="13" t="s">
        <v>20</v>
      </c>
      <c r="G506" s="15">
        <f>590+600+226.3+60227.5</f>
        <v>61643.8</v>
      </c>
    </row>
    <row r="507" spans="1:7" s="96" customFormat="1" ht="31.2" x14ac:dyDescent="0.25">
      <c r="A507" s="29" t="s">
        <v>118</v>
      </c>
      <c r="B507" s="13" t="s">
        <v>282</v>
      </c>
      <c r="C507" s="25">
        <v>2</v>
      </c>
      <c r="D507" s="13" t="s">
        <v>0</v>
      </c>
      <c r="E507" s="13" t="s">
        <v>526</v>
      </c>
      <c r="F507" s="13" t="s">
        <v>119</v>
      </c>
      <c r="G507" s="15">
        <f>1209+14138</f>
        <v>15347</v>
      </c>
    </row>
    <row r="508" spans="1:7" s="96" customFormat="1" ht="31.2" x14ac:dyDescent="0.25">
      <c r="A508" s="30" t="s">
        <v>116</v>
      </c>
      <c r="B508" s="13" t="s">
        <v>282</v>
      </c>
      <c r="C508" s="25">
        <v>2</v>
      </c>
      <c r="D508" s="13" t="s">
        <v>0</v>
      </c>
      <c r="E508" s="13" t="s">
        <v>526</v>
      </c>
      <c r="F508" s="13" t="s">
        <v>111</v>
      </c>
      <c r="G508" s="15">
        <f>60227.5+23383-60227.5</f>
        <v>23383</v>
      </c>
    </row>
    <row r="509" spans="1:7" s="96" customFormat="1" ht="21.75" customHeight="1" x14ac:dyDescent="0.25">
      <c r="A509" s="29" t="s">
        <v>535</v>
      </c>
      <c r="B509" s="13" t="s">
        <v>282</v>
      </c>
      <c r="C509" s="25">
        <v>2</v>
      </c>
      <c r="D509" s="13" t="s">
        <v>0</v>
      </c>
      <c r="E509" s="13" t="s">
        <v>534</v>
      </c>
      <c r="F509" s="13"/>
      <c r="G509" s="15">
        <f>G510</f>
        <v>0</v>
      </c>
    </row>
    <row r="510" spans="1:7" s="96" customFormat="1" ht="31.2" x14ac:dyDescent="0.25">
      <c r="A510" s="30" t="s">
        <v>116</v>
      </c>
      <c r="B510" s="13" t="s">
        <v>282</v>
      </c>
      <c r="C510" s="25">
        <v>2</v>
      </c>
      <c r="D510" s="13" t="s">
        <v>0</v>
      </c>
      <c r="E510" s="13" t="s">
        <v>534</v>
      </c>
      <c r="F510" s="13" t="s">
        <v>111</v>
      </c>
      <c r="G510" s="15">
        <f>2971.4+217.9-3189.3</f>
        <v>0</v>
      </c>
    </row>
    <row r="511" spans="1:7" s="96" customFormat="1" ht="31.2" x14ac:dyDescent="0.25">
      <c r="A511" s="29" t="s">
        <v>588</v>
      </c>
      <c r="B511" s="13" t="s">
        <v>282</v>
      </c>
      <c r="C511" s="25">
        <v>2</v>
      </c>
      <c r="D511" s="13" t="s">
        <v>0</v>
      </c>
      <c r="E511" s="13" t="s">
        <v>581</v>
      </c>
      <c r="F511" s="13"/>
      <c r="G511" s="15">
        <f>G512</f>
        <v>3161.1</v>
      </c>
    </row>
    <row r="512" spans="1:7" s="96" customFormat="1" ht="31.2" x14ac:dyDescent="0.25">
      <c r="A512" s="29" t="s">
        <v>115</v>
      </c>
      <c r="B512" s="13" t="s">
        <v>282</v>
      </c>
      <c r="C512" s="25">
        <v>2</v>
      </c>
      <c r="D512" s="13" t="s">
        <v>0</v>
      </c>
      <c r="E512" s="13" t="s">
        <v>581</v>
      </c>
      <c r="F512" s="13" t="s">
        <v>20</v>
      </c>
      <c r="G512" s="15">
        <f>2852.5+118.9+189.7</f>
        <v>3161.1</v>
      </c>
    </row>
    <row r="513" spans="1:7" s="96" customFormat="1" ht="36" customHeight="1" x14ac:dyDescent="0.25">
      <c r="A513" s="29" t="s">
        <v>588</v>
      </c>
      <c r="B513" s="13" t="s">
        <v>282</v>
      </c>
      <c r="C513" s="25">
        <v>2</v>
      </c>
      <c r="D513" s="13" t="s">
        <v>0</v>
      </c>
      <c r="E513" s="13" t="s">
        <v>582</v>
      </c>
      <c r="F513" s="13"/>
      <c r="G513" s="15">
        <f>G514</f>
        <v>1037.7</v>
      </c>
    </row>
    <row r="514" spans="1:7" s="96" customFormat="1" ht="31.2" x14ac:dyDescent="0.25">
      <c r="A514" s="29" t="s">
        <v>115</v>
      </c>
      <c r="B514" s="13" t="s">
        <v>282</v>
      </c>
      <c r="C514" s="25">
        <v>2</v>
      </c>
      <c r="D514" s="13" t="s">
        <v>0</v>
      </c>
      <c r="E514" s="13" t="s">
        <v>582</v>
      </c>
      <c r="F514" s="13" t="s">
        <v>20</v>
      </c>
      <c r="G514" s="15">
        <v>1037.7</v>
      </c>
    </row>
    <row r="515" spans="1:7" s="96" customFormat="1" ht="39" customHeight="1" x14ac:dyDescent="0.25">
      <c r="A515" s="29" t="s">
        <v>616</v>
      </c>
      <c r="B515" s="13" t="s">
        <v>282</v>
      </c>
      <c r="C515" s="25">
        <v>3</v>
      </c>
      <c r="D515" s="13"/>
      <c r="E515" s="13"/>
      <c r="F515" s="13"/>
      <c r="G515" s="15">
        <f>G516</f>
        <v>1800</v>
      </c>
    </row>
    <row r="516" spans="1:7" s="96" customFormat="1" ht="35.4" customHeight="1" x14ac:dyDescent="0.25">
      <c r="A516" s="29" t="s">
        <v>617</v>
      </c>
      <c r="B516" s="13" t="s">
        <v>282</v>
      </c>
      <c r="C516" s="25">
        <v>3</v>
      </c>
      <c r="D516" s="13" t="s">
        <v>0</v>
      </c>
      <c r="E516" s="13"/>
      <c r="F516" s="13"/>
      <c r="G516" s="15">
        <f>G517</f>
        <v>1800</v>
      </c>
    </row>
    <row r="517" spans="1:7" s="96" customFormat="1" ht="38.4" customHeight="1" x14ac:dyDescent="0.25">
      <c r="A517" s="29" t="s">
        <v>618</v>
      </c>
      <c r="B517" s="13" t="s">
        <v>282</v>
      </c>
      <c r="C517" s="25">
        <v>3</v>
      </c>
      <c r="D517" s="13" t="s">
        <v>0</v>
      </c>
      <c r="E517" s="13" t="s">
        <v>615</v>
      </c>
      <c r="F517" s="13"/>
      <c r="G517" s="15">
        <f>G518</f>
        <v>1800</v>
      </c>
    </row>
    <row r="518" spans="1:7" s="96" customFormat="1" ht="31.2" x14ac:dyDescent="0.25">
      <c r="A518" s="29" t="s">
        <v>115</v>
      </c>
      <c r="B518" s="13" t="s">
        <v>282</v>
      </c>
      <c r="C518" s="25">
        <v>3</v>
      </c>
      <c r="D518" s="13" t="s">
        <v>0</v>
      </c>
      <c r="E518" s="13" t="s">
        <v>615</v>
      </c>
      <c r="F518" s="13" t="s">
        <v>20</v>
      </c>
      <c r="G518" s="15">
        <f>600+300+300+600</f>
        <v>1800</v>
      </c>
    </row>
    <row r="519" spans="1:7" s="96" customFormat="1" ht="31.2" x14ac:dyDescent="0.25">
      <c r="A519" s="29" t="s">
        <v>158</v>
      </c>
      <c r="B519" s="13" t="s">
        <v>123</v>
      </c>
      <c r="C519" s="13"/>
      <c r="D519" s="13"/>
      <c r="E519" s="13"/>
      <c r="F519" s="13"/>
      <c r="G519" s="15">
        <f>SUM(G524+G529+G520)</f>
        <v>32067.899999999998</v>
      </c>
    </row>
    <row r="520" spans="1:7" s="96" customFormat="1" ht="46.8" x14ac:dyDescent="0.25">
      <c r="A520" s="29" t="s">
        <v>386</v>
      </c>
      <c r="B520" s="13" t="s">
        <v>123</v>
      </c>
      <c r="C520" s="13" t="s">
        <v>58</v>
      </c>
      <c r="D520" s="13"/>
      <c r="E520" s="13"/>
      <c r="F520" s="13"/>
      <c r="G520" s="15">
        <f>G521</f>
        <v>2418</v>
      </c>
    </row>
    <row r="521" spans="1:7" s="96" customFormat="1" ht="46.8" x14ac:dyDescent="0.25">
      <c r="A521" s="29" t="s">
        <v>387</v>
      </c>
      <c r="B521" s="13" t="s">
        <v>123</v>
      </c>
      <c r="C521" s="13" t="s">
        <v>58</v>
      </c>
      <c r="D521" s="13" t="s">
        <v>0</v>
      </c>
      <c r="E521" s="13"/>
      <c r="F521" s="13"/>
      <c r="G521" s="15">
        <f>G522</f>
        <v>2418</v>
      </c>
    </row>
    <row r="522" spans="1:7" s="96" customFormat="1" ht="78" x14ac:dyDescent="0.25">
      <c r="A522" s="29" t="s">
        <v>388</v>
      </c>
      <c r="B522" s="13" t="s">
        <v>123</v>
      </c>
      <c r="C522" s="13" t="s">
        <v>58</v>
      </c>
      <c r="D522" s="13" t="s">
        <v>0</v>
      </c>
      <c r="E522" s="13" t="s">
        <v>316</v>
      </c>
      <c r="F522" s="13"/>
      <c r="G522" s="15">
        <f>G523</f>
        <v>2418</v>
      </c>
    </row>
    <row r="523" spans="1:7" s="96" customFormat="1" ht="31.2" x14ac:dyDescent="0.25">
      <c r="A523" s="29" t="s">
        <v>115</v>
      </c>
      <c r="B523" s="13" t="s">
        <v>123</v>
      </c>
      <c r="C523" s="13" t="s">
        <v>58</v>
      </c>
      <c r="D523" s="13" t="s">
        <v>0</v>
      </c>
      <c r="E523" s="13" t="s">
        <v>316</v>
      </c>
      <c r="F523" s="13" t="s">
        <v>20</v>
      </c>
      <c r="G523" s="15">
        <f>619+205.4+954.1+291.7+347.8</f>
        <v>2418</v>
      </c>
    </row>
    <row r="524" spans="1:7" s="96" customFormat="1" ht="31.2" x14ac:dyDescent="0.25">
      <c r="A524" s="29" t="s">
        <v>389</v>
      </c>
      <c r="B524" s="13" t="s">
        <v>123</v>
      </c>
      <c r="C524" s="13" t="s">
        <v>93</v>
      </c>
      <c r="D524" s="13"/>
      <c r="E524" s="13"/>
      <c r="F524" s="13"/>
      <c r="G524" s="15">
        <f>SUM(G525)</f>
        <v>20168.199999999997</v>
      </c>
    </row>
    <row r="525" spans="1:7" s="96" customFormat="1" ht="79.5" customHeight="1" x14ac:dyDescent="0.25">
      <c r="A525" s="40" t="s">
        <v>567</v>
      </c>
      <c r="B525" s="13" t="s">
        <v>123</v>
      </c>
      <c r="C525" s="13" t="s">
        <v>93</v>
      </c>
      <c r="D525" s="13" t="s">
        <v>0</v>
      </c>
      <c r="E525" s="13"/>
      <c r="F525" s="13"/>
      <c r="G525" s="15">
        <f>SUM(G526)</f>
        <v>20168.199999999997</v>
      </c>
    </row>
    <row r="526" spans="1:7" s="96" customFormat="1" ht="62.4" x14ac:dyDescent="0.25">
      <c r="A526" s="29" t="s">
        <v>390</v>
      </c>
      <c r="B526" s="13" t="s">
        <v>123</v>
      </c>
      <c r="C526" s="13" t="s">
        <v>93</v>
      </c>
      <c r="D526" s="13" t="s">
        <v>0</v>
      </c>
      <c r="E526" s="13" t="s">
        <v>134</v>
      </c>
      <c r="F526" s="13"/>
      <c r="G526" s="15">
        <f>SUM(G527:G528)</f>
        <v>20168.199999999997</v>
      </c>
    </row>
    <row r="527" spans="1:7" s="96" customFormat="1" ht="31.2" x14ac:dyDescent="0.25">
      <c r="A527" s="29" t="s">
        <v>115</v>
      </c>
      <c r="B527" s="13" t="s">
        <v>123</v>
      </c>
      <c r="C527" s="13" t="s">
        <v>93</v>
      </c>
      <c r="D527" s="13" t="s">
        <v>0</v>
      </c>
      <c r="E527" s="13" t="s">
        <v>134</v>
      </c>
      <c r="F527" s="13" t="s">
        <v>20</v>
      </c>
      <c r="G527" s="15">
        <f>7368.9+173.8+4887.3+756.6+1994-34.5+5600-156.3-552.2-60.2</f>
        <v>19977.399999999998</v>
      </c>
    </row>
    <row r="528" spans="1:7" s="96" customFormat="1" x14ac:dyDescent="0.25">
      <c r="A528" s="29" t="s">
        <v>117</v>
      </c>
      <c r="B528" s="13" t="s">
        <v>123</v>
      </c>
      <c r="C528" s="13" t="s">
        <v>93</v>
      </c>
      <c r="D528" s="13" t="s">
        <v>0</v>
      </c>
      <c r="E528" s="13" t="s">
        <v>134</v>
      </c>
      <c r="F528" s="13" t="s">
        <v>109</v>
      </c>
      <c r="G528" s="15">
        <f>34.5+156.3</f>
        <v>190.8</v>
      </c>
    </row>
    <row r="529" spans="1:7" s="96" customFormat="1" ht="34.5" customHeight="1" x14ac:dyDescent="0.25">
      <c r="A529" s="29" t="s">
        <v>431</v>
      </c>
      <c r="B529" s="13" t="s">
        <v>123</v>
      </c>
      <c r="C529" s="13" t="s">
        <v>101</v>
      </c>
      <c r="D529" s="13"/>
      <c r="E529" s="13"/>
      <c r="F529" s="13"/>
      <c r="G529" s="15">
        <f>G530</f>
        <v>9481.7000000000007</v>
      </c>
    </row>
    <row r="530" spans="1:7" s="96" customFormat="1" ht="31.2" x14ac:dyDescent="0.25">
      <c r="A530" s="29" t="s">
        <v>124</v>
      </c>
      <c r="B530" s="13" t="s">
        <v>123</v>
      </c>
      <c r="C530" s="13" t="s">
        <v>101</v>
      </c>
      <c r="D530" s="13" t="s">
        <v>0</v>
      </c>
      <c r="E530" s="13"/>
      <c r="F530" s="13"/>
      <c r="G530" s="15">
        <f>G531</f>
        <v>9481.7000000000007</v>
      </c>
    </row>
    <row r="531" spans="1:7" s="96" customFormat="1" ht="78" x14ac:dyDescent="0.25">
      <c r="A531" s="29" t="s">
        <v>218</v>
      </c>
      <c r="B531" s="13" t="s">
        <v>123</v>
      </c>
      <c r="C531" s="13" t="s">
        <v>101</v>
      </c>
      <c r="D531" s="13" t="s">
        <v>0</v>
      </c>
      <c r="E531" s="13" t="s">
        <v>125</v>
      </c>
      <c r="F531" s="13"/>
      <c r="G531" s="15">
        <f>G532+G533</f>
        <v>9481.7000000000007</v>
      </c>
    </row>
    <row r="532" spans="1:7" s="96" customFormat="1" ht="31.2" x14ac:dyDescent="0.25">
      <c r="A532" s="29" t="s">
        <v>115</v>
      </c>
      <c r="B532" s="13" t="s">
        <v>123</v>
      </c>
      <c r="C532" s="13" t="s">
        <v>101</v>
      </c>
      <c r="D532" s="13" t="s">
        <v>0</v>
      </c>
      <c r="E532" s="13" t="s">
        <v>125</v>
      </c>
      <c r="F532" s="13" t="s">
        <v>20</v>
      </c>
      <c r="G532" s="15"/>
    </row>
    <row r="533" spans="1:7" s="96" customFormat="1" ht="31.2" x14ac:dyDescent="0.25">
      <c r="A533" s="30" t="s">
        <v>116</v>
      </c>
      <c r="B533" s="13" t="s">
        <v>123</v>
      </c>
      <c r="C533" s="13" t="s">
        <v>101</v>
      </c>
      <c r="D533" s="13" t="s">
        <v>0</v>
      </c>
      <c r="E533" s="13" t="s">
        <v>125</v>
      </c>
      <c r="F533" s="13" t="s">
        <v>111</v>
      </c>
      <c r="G533" s="15">
        <v>9481.7000000000007</v>
      </c>
    </row>
    <row r="534" spans="1:7" s="96" customFormat="1" ht="31.2" x14ac:dyDescent="0.25">
      <c r="A534" s="31" t="s">
        <v>159</v>
      </c>
      <c r="B534" s="13" t="s">
        <v>16</v>
      </c>
      <c r="C534" s="13"/>
      <c r="D534" s="13"/>
      <c r="E534" s="13"/>
      <c r="F534" s="14"/>
      <c r="G534" s="15">
        <f>SUM(G535+G559+G571+G581+G577)</f>
        <v>317623.09999999998</v>
      </c>
    </row>
    <row r="535" spans="1:7" s="96" customFormat="1" ht="31.2" x14ac:dyDescent="0.25">
      <c r="A535" s="31" t="s">
        <v>160</v>
      </c>
      <c r="B535" s="13" t="s">
        <v>16</v>
      </c>
      <c r="C535" s="13" t="s">
        <v>58</v>
      </c>
      <c r="D535" s="13"/>
      <c r="E535" s="13"/>
      <c r="F535" s="14"/>
      <c r="G535" s="15">
        <f>SUM(G536+G545+G556)</f>
        <v>110906.69999999998</v>
      </c>
    </row>
    <row r="536" spans="1:7" s="96" customFormat="1" ht="31.2" x14ac:dyDescent="0.25">
      <c r="A536" s="31" t="s">
        <v>102</v>
      </c>
      <c r="B536" s="13" t="s">
        <v>16</v>
      </c>
      <c r="C536" s="13" t="s">
        <v>58</v>
      </c>
      <c r="D536" s="13" t="s">
        <v>0</v>
      </c>
      <c r="E536" s="13"/>
      <c r="F536" s="14"/>
      <c r="G536" s="15">
        <f>SUM(G541+G537+G543)</f>
        <v>81145.899999999994</v>
      </c>
    </row>
    <row r="537" spans="1:7" s="96" customFormat="1" ht="46.8" x14ac:dyDescent="0.25">
      <c r="A537" s="31" t="s">
        <v>28</v>
      </c>
      <c r="B537" s="13" t="s">
        <v>16</v>
      </c>
      <c r="C537" s="13" t="s">
        <v>58</v>
      </c>
      <c r="D537" s="13" t="s">
        <v>0</v>
      </c>
      <c r="E537" s="13" t="s">
        <v>51</v>
      </c>
      <c r="F537" s="14"/>
      <c r="G537" s="15">
        <f>SUM(G538:G540)</f>
        <v>71727.599999999991</v>
      </c>
    </row>
    <row r="538" spans="1:7" s="96" customFormat="1" ht="46.8" x14ac:dyDescent="0.25">
      <c r="A538" s="29" t="s">
        <v>114</v>
      </c>
      <c r="B538" s="13" t="s">
        <v>16</v>
      </c>
      <c r="C538" s="13" t="s">
        <v>58</v>
      </c>
      <c r="D538" s="13" t="s">
        <v>0</v>
      </c>
      <c r="E538" s="13" t="s">
        <v>51</v>
      </c>
      <c r="F538" s="14" t="s">
        <v>19</v>
      </c>
      <c r="G538" s="15">
        <v>59993.8</v>
      </c>
    </row>
    <row r="539" spans="1:7" s="96" customFormat="1" ht="31.2" x14ac:dyDescent="0.25">
      <c r="A539" s="29" t="s">
        <v>115</v>
      </c>
      <c r="B539" s="13" t="s">
        <v>16</v>
      </c>
      <c r="C539" s="13" t="s">
        <v>58</v>
      </c>
      <c r="D539" s="13" t="s">
        <v>0</v>
      </c>
      <c r="E539" s="13" t="s">
        <v>51</v>
      </c>
      <c r="F539" s="14" t="s">
        <v>20</v>
      </c>
      <c r="G539" s="15">
        <f>17099.1-8689.7+10.5+3079.3-5-4.2+65.2+1.4</f>
        <v>11556.599999999997</v>
      </c>
    </row>
    <row r="540" spans="1:7" s="96" customFormat="1" x14ac:dyDescent="0.25">
      <c r="A540" s="29" t="s">
        <v>21</v>
      </c>
      <c r="B540" s="13" t="s">
        <v>16</v>
      </c>
      <c r="C540" s="13" t="s">
        <v>58</v>
      </c>
      <c r="D540" s="13" t="s">
        <v>0</v>
      </c>
      <c r="E540" s="13" t="s">
        <v>51</v>
      </c>
      <c r="F540" s="14" t="s">
        <v>22</v>
      </c>
      <c r="G540" s="15">
        <f>168+5+4.2</f>
        <v>177.2</v>
      </c>
    </row>
    <row r="541" spans="1:7" s="96" customFormat="1" x14ac:dyDescent="0.25">
      <c r="A541" s="31" t="s">
        <v>552</v>
      </c>
      <c r="B541" s="13" t="s">
        <v>16</v>
      </c>
      <c r="C541" s="13" t="s">
        <v>58</v>
      </c>
      <c r="D541" s="13" t="s">
        <v>0</v>
      </c>
      <c r="E541" s="13" t="s">
        <v>79</v>
      </c>
      <c r="F541" s="14"/>
      <c r="G541" s="15">
        <f>SUM(G542:G542)</f>
        <v>728.6</v>
      </c>
    </row>
    <row r="542" spans="1:7" s="96" customFormat="1" ht="31.2" x14ac:dyDescent="0.25">
      <c r="A542" s="29" t="s">
        <v>115</v>
      </c>
      <c r="B542" s="13" t="s">
        <v>16</v>
      </c>
      <c r="C542" s="13" t="s">
        <v>58</v>
      </c>
      <c r="D542" s="13" t="s">
        <v>0</v>
      </c>
      <c r="E542" s="13" t="s">
        <v>79</v>
      </c>
      <c r="F542" s="14" t="s">
        <v>20</v>
      </c>
      <c r="G542" s="15">
        <v>728.6</v>
      </c>
    </row>
    <row r="543" spans="1:7" s="96" customFormat="1" ht="46.8" x14ac:dyDescent="0.25">
      <c r="A543" s="29" t="s">
        <v>564</v>
      </c>
      <c r="B543" s="13" t="s">
        <v>16</v>
      </c>
      <c r="C543" s="13" t="s">
        <v>58</v>
      </c>
      <c r="D543" s="13" t="s">
        <v>0</v>
      </c>
      <c r="E543" s="13" t="s">
        <v>130</v>
      </c>
      <c r="F543" s="14"/>
      <c r="G543" s="15">
        <f>G544</f>
        <v>8689.7000000000007</v>
      </c>
    </row>
    <row r="544" spans="1:7" s="96" customFormat="1" ht="31.2" x14ac:dyDescent="0.25">
      <c r="A544" s="29" t="s">
        <v>115</v>
      </c>
      <c r="B544" s="13" t="s">
        <v>16</v>
      </c>
      <c r="C544" s="13" t="s">
        <v>58</v>
      </c>
      <c r="D544" s="13" t="s">
        <v>0</v>
      </c>
      <c r="E544" s="13" t="s">
        <v>130</v>
      </c>
      <c r="F544" s="14" t="s">
        <v>20</v>
      </c>
      <c r="G544" s="15">
        <v>8689.7000000000007</v>
      </c>
    </row>
    <row r="545" spans="1:7" s="96" customFormat="1" ht="46.8" x14ac:dyDescent="0.25">
      <c r="A545" s="31" t="s">
        <v>429</v>
      </c>
      <c r="B545" s="13" t="s">
        <v>16</v>
      </c>
      <c r="C545" s="13" t="s">
        <v>58</v>
      </c>
      <c r="D545" s="13" t="s">
        <v>1</v>
      </c>
      <c r="E545" s="13"/>
      <c r="F545" s="14"/>
      <c r="G545" s="15">
        <f>SUM(G546+G550+G554+G552)</f>
        <v>8451.7000000000007</v>
      </c>
    </row>
    <row r="546" spans="1:7" s="96" customFormat="1" x14ac:dyDescent="0.25">
      <c r="A546" s="31" t="s">
        <v>26</v>
      </c>
      <c r="B546" s="13" t="s">
        <v>16</v>
      </c>
      <c r="C546" s="13" t="s">
        <v>58</v>
      </c>
      <c r="D546" s="13" t="s">
        <v>1</v>
      </c>
      <c r="E546" s="13" t="s">
        <v>41</v>
      </c>
      <c r="F546" s="14"/>
      <c r="G546" s="15">
        <f>SUM(G547:G549)</f>
        <v>8210</v>
      </c>
    </row>
    <row r="547" spans="1:7" s="96" customFormat="1" ht="46.8" x14ac:dyDescent="0.25">
      <c r="A547" s="29" t="s">
        <v>114</v>
      </c>
      <c r="B547" s="13" t="s">
        <v>16</v>
      </c>
      <c r="C547" s="13" t="s">
        <v>58</v>
      </c>
      <c r="D547" s="13" t="s">
        <v>1</v>
      </c>
      <c r="E547" s="13" t="s">
        <v>41</v>
      </c>
      <c r="F547" s="14" t="s">
        <v>19</v>
      </c>
      <c r="G547" s="15">
        <v>7946.5</v>
      </c>
    </row>
    <row r="548" spans="1:7" s="96" customFormat="1" ht="31.2" x14ac:dyDescent="0.25">
      <c r="A548" s="29" t="s">
        <v>115</v>
      </c>
      <c r="B548" s="13" t="s">
        <v>16</v>
      </c>
      <c r="C548" s="13" t="s">
        <v>58</v>
      </c>
      <c r="D548" s="13" t="s">
        <v>1</v>
      </c>
      <c r="E548" s="13" t="s">
        <v>41</v>
      </c>
      <c r="F548" s="14" t="s">
        <v>20</v>
      </c>
      <c r="G548" s="15">
        <f>261.4-0.1+0.1</f>
        <v>261.39999999999998</v>
      </c>
    </row>
    <row r="549" spans="1:7" s="96" customFormat="1" x14ac:dyDescent="0.25">
      <c r="A549" s="29" t="s">
        <v>21</v>
      </c>
      <c r="B549" s="13" t="s">
        <v>16</v>
      </c>
      <c r="C549" s="13" t="s">
        <v>58</v>
      </c>
      <c r="D549" s="13" t="s">
        <v>1</v>
      </c>
      <c r="E549" s="13" t="s">
        <v>41</v>
      </c>
      <c r="F549" s="14" t="s">
        <v>22</v>
      </c>
      <c r="G549" s="15">
        <f>2+0.1</f>
        <v>2.1</v>
      </c>
    </row>
    <row r="550" spans="1:7" s="96" customFormat="1" x14ac:dyDescent="0.25">
      <c r="A550" s="29" t="s">
        <v>228</v>
      </c>
      <c r="B550" s="13" t="s">
        <v>16</v>
      </c>
      <c r="C550" s="25">
        <v>1</v>
      </c>
      <c r="D550" s="13" t="s">
        <v>1</v>
      </c>
      <c r="E550" s="13" t="s">
        <v>229</v>
      </c>
      <c r="F550" s="13"/>
      <c r="G550" s="15">
        <f>SUM(G551)</f>
        <v>28.3</v>
      </c>
    </row>
    <row r="551" spans="1:7" s="96" customFormat="1" ht="31.2" x14ac:dyDescent="0.25">
      <c r="A551" s="29" t="s">
        <v>115</v>
      </c>
      <c r="B551" s="13" t="s">
        <v>16</v>
      </c>
      <c r="C551" s="25">
        <v>1</v>
      </c>
      <c r="D551" s="13" t="s">
        <v>1</v>
      </c>
      <c r="E551" s="13" t="s">
        <v>229</v>
      </c>
      <c r="F551" s="13" t="s">
        <v>20</v>
      </c>
      <c r="G551" s="15">
        <v>28.3</v>
      </c>
    </row>
    <row r="552" spans="1:7" s="96" customFormat="1" x14ac:dyDescent="0.25">
      <c r="A552" s="29" t="s">
        <v>234</v>
      </c>
      <c r="B552" s="13" t="s">
        <v>16</v>
      </c>
      <c r="C552" s="13" t="s">
        <v>58</v>
      </c>
      <c r="D552" s="13" t="s">
        <v>1</v>
      </c>
      <c r="E552" s="13" t="s">
        <v>235</v>
      </c>
      <c r="F552" s="14"/>
      <c r="G552" s="15">
        <f>SUM(G553)</f>
        <v>87.2</v>
      </c>
    </row>
    <row r="553" spans="1:7" s="96" customFormat="1" ht="31.2" x14ac:dyDescent="0.25">
      <c r="A553" s="29" t="s">
        <v>115</v>
      </c>
      <c r="B553" s="13" t="s">
        <v>16</v>
      </c>
      <c r="C553" s="13" t="s">
        <v>58</v>
      </c>
      <c r="D553" s="13" t="s">
        <v>1</v>
      </c>
      <c r="E553" s="13" t="s">
        <v>235</v>
      </c>
      <c r="F553" s="14" t="s">
        <v>20</v>
      </c>
      <c r="G553" s="15">
        <v>87.2</v>
      </c>
    </row>
    <row r="554" spans="1:7" s="96" customFormat="1" ht="31.2" x14ac:dyDescent="0.25">
      <c r="A554" s="111" t="s">
        <v>232</v>
      </c>
      <c r="B554" s="13" t="s">
        <v>16</v>
      </c>
      <c r="C554" s="13" t="s">
        <v>58</v>
      </c>
      <c r="D554" s="13" t="s">
        <v>1</v>
      </c>
      <c r="E554" s="13" t="s">
        <v>233</v>
      </c>
      <c r="F554" s="13"/>
      <c r="G554" s="15">
        <f>SUM(G555)</f>
        <v>126.2</v>
      </c>
    </row>
    <row r="555" spans="1:7" s="96" customFormat="1" ht="31.2" x14ac:dyDescent="0.25">
      <c r="A555" s="29" t="s">
        <v>115</v>
      </c>
      <c r="B555" s="13" t="s">
        <v>16</v>
      </c>
      <c r="C555" s="13" t="s">
        <v>58</v>
      </c>
      <c r="D555" s="13" t="s">
        <v>1</v>
      </c>
      <c r="E555" s="13" t="s">
        <v>233</v>
      </c>
      <c r="F555" s="13" t="s">
        <v>20</v>
      </c>
      <c r="G555" s="15">
        <v>126.2</v>
      </c>
    </row>
    <row r="556" spans="1:7" s="96" customFormat="1" ht="46.8" x14ac:dyDescent="0.25">
      <c r="A556" s="29" t="s">
        <v>645</v>
      </c>
      <c r="B556" s="13" t="s">
        <v>16</v>
      </c>
      <c r="C556" s="13" t="s">
        <v>58</v>
      </c>
      <c r="D556" s="13" t="s">
        <v>2</v>
      </c>
      <c r="E556" s="13"/>
      <c r="F556" s="13"/>
      <c r="G556" s="15">
        <f>G557</f>
        <v>21309.1</v>
      </c>
    </row>
    <row r="557" spans="1:7" s="96" customFormat="1" x14ac:dyDescent="0.25">
      <c r="A557" s="29" t="s">
        <v>322</v>
      </c>
      <c r="B557" s="13" t="s">
        <v>16</v>
      </c>
      <c r="C557" s="13" t="s">
        <v>58</v>
      </c>
      <c r="D557" s="13" t="s">
        <v>2</v>
      </c>
      <c r="E557" s="13" t="s">
        <v>321</v>
      </c>
      <c r="F557" s="13"/>
      <c r="G557" s="15">
        <f>G558</f>
        <v>21309.1</v>
      </c>
    </row>
    <row r="558" spans="1:7" s="96" customFormat="1" ht="31.2" x14ac:dyDescent="0.25">
      <c r="A558" s="29" t="s">
        <v>115</v>
      </c>
      <c r="B558" s="13" t="s">
        <v>16</v>
      </c>
      <c r="C558" s="13" t="s">
        <v>58</v>
      </c>
      <c r="D558" s="13" t="s">
        <v>2</v>
      </c>
      <c r="E558" s="13" t="s">
        <v>321</v>
      </c>
      <c r="F558" s="13" t="s">
        <v>20</v>
      </c>
      <c r="G558" s="15">
        <v>21309.1</v>
      </c>
    </row>
    <row r="559" spans="1:7" s="96" customFormat="1" x14ac:dyDescent="0.25">
      <c r="A559" s="31" t="s">
        <v>161</v>
      </c>
      <c r="B559" s="13" t="s">
        <v>16</v>
      </c>
      <c r="C559" s="13" t="s">
        <v>93</v>
      </c>
      <c r="D559" s="13"/>
      <c r="E559" s="13"/>
      <c r="F559" s="14"/>
      <c r="G559" s="15">
        <f>SUM(G560+G565)</f>
        <v>11184.999999999998</v>
      </c>
    </row>
    <row r="560" spans="1:7" s="96" customFormat="1" ht="46.8" x14ac:dyDescent="0.25">
      <c r="A560" s="31" t="s">
        <v>533</v>
      </c>
      <c r="B560" s="13" t="s">
        <v>16</v>
      </c>
      <c r="C560" s="13" t="s">
        <v>93</v>
      </c>
      <c r="D560" s="13" t="s">
        <v>0</v>
      </c>
      <c r="E560" s="13"/>
      <c r="F560" s="14"/>
      <c r="G560" s="15">
        <f>SUM(G561)</f>
        <v>11088.199999999999</v>
      </c>
    </row>
    <row r="561" spans="1:7" s="96" customFormat="1" ht="46.8" x14ac:dyDescent="0.25">
      <c r="A561" s="31" t="s">
        <v>28</v>
      </c>
      <c r="B561" s="13" t="s">
        <v>16</v>
      </c>
      <c r="C561" s="13" t="s">
        <v>93</v>
      </c>
      <c r="D561" s="13" t="s">
        <v>0</v>
      </c>
      <c r="E561" s="13" t="s">
        <v>51</v>
      </c>
      <c r="F561" s="14"/>
      <c r="G561" s="15">
        <f>SUM(G562:G564)</f>
        <v>11088.199999999999</v>
      </c>
    </row>
    <row r="562" spans="1:7" s="96" customFormat="1" ht="46.8" x14ac:dyDescent="0.25">
      <c r="A562" s="29" t="s">
        <v>114</v>
      </c>
      <c r="B562" s="13" t="s">
        <v>16</v>
      </c>
      <c r="C562" s="13" t="s">
        <v>93</v>
      </c>
      <c r="D562" s="13" t="s">
        <v>0</v>
      </c>
      <c r="E562" s="13" t="s">
        <v>51</v>
      </c>
      <c r="F562" s="14" t="s">
        <v>19</v>
      </c>
      <c r="G562" s="15">
        <v>10233.299999999999</v>
      </c>
    </row>
    <row r="563" spans="1:7" s="96" customFormat="1" ht="31.2" x14ac:dyDescent="0.25">
      <c r="A563" s="29" t="s">
        <v>115</v>
      </c>
      <c r="B563" s="13" t="s">
        <v>16</v>
      </c>
      <c r="C563" s="13" t="s">
        <v>93</v>
      </c>
      <c r="D563" s="13" t="s">
        <v>0</v>
      </c>
      <c r="E563" s="13" t="s">
        <v>51</v>
      </c>
      <c r="F563" s="14" t="s">
        <v>20</v>
      </c>
      <c r="G563" s="15">
        <f>767.3+48+39.6</f>
        <v>854.9</v>
      </c>
    </row>
    <row r="564" spans="1:7" s="96" customFormat="1" x14ac:dyDescent="0.25">
      <c r="A564" s="29" t="s">
        <v>21</v>
      </c>
      <c r="B564" s="13" t="s">
        <v>16</v>
      </c>
      <c r="C564" s="13" t="s">
        <v>93</v>
      </c>
      <c r="D564" s="13" t="s">
        <v>0</v>
      </c>
      <c r="E564" s="13" t="s">
        <v>51</v>
      </c>
      <c r="F564" s="14" t="s">
        <v>22</v>
      </c>
      <c r="G564" s="15"/>
    </row>
    <row r="565" spans="1:7" s="96" customFormat="1" ht="32.25" customHeight="1" x14ac:dyDescent="0.25">
      <c r="A565" s="29" t="s">
        <v>240</v>
      </c>
      <c r="B565" s="13" t="s">
        <v>16</v>
      </c>
      <c r="C565" s="13" t="s">
        <v>93</v>
      </c>
      <c r="D565" s="13" t="s">
        <v>1</v>
      </c>
      <c r="E565" s="13"/>
      <c r="F565" s="14"/>
      <c r="G565" s="15">
        <f>G566+G569</f>
        <v>96.8</v>
      </c>
    </row>
    <row r="566" spans="1:7" s="96" customFormat="1" ht="31.2" x14ac:dyDescent="0.25">
      <c r="A566" s="29" t="s">
        <v>565</v>
      </c>
      <c r="B566" s="13" t="s">
        <v>16</v>
      </c>
      <c r="C566" s="13" t="s">
        <v>93</v>
      </c>
      <c r="D566" s="13" t="s">
        <v>1</v>
      </c>
      <c r="E566" s="13" t="s">
        <v>239</v>
      </c>
      <c r="F566" s="14"/>
      <c r="G566" s="15">
        <f>G567+G568</f>
        <v>96.8</v>
      </c>
    </row>
    <row r="567" spans="1:7" s="96" customFormat="1" ht="31.2" x14ac:dyDescent="0.25">
      <c r="A567" s="29" t="s">
        <v>115</v>
      </c>
      <c r="B567" s="13" t="s">
        <v>16</v>
      </c>
      <c r="C567" s="13" t="s">
        <v>93</v>
      </c>
      <c r="D567" s="13" t="s">
        <v>1</v>
      </c>
      <c r="E567" s="13" t="s">
        <v>239</v>
      </c>
      <c r="F567" s="14" t="s">
        <v>20</v>
      </c>
      <c r="G567" s="15"/>
    </row>
    <row r="568" spans="1:7" s="96" customFormat="1" ht="31.2" x14ac:dyDescent="0.25">
      <c r="A568" s="30" t="s">
        <v>116</v>
      </c>
      <c r="B568" s="13" t="s">
        <v>16</v>
      </c>
      <c r="C568" s="13" t="s">
        <v>93</v>
      </c>
      <c r="D568" s="13" t="s">
        <v>1</v>
      </c>
      <c r="E568" s="13" t="s">
        <v>239</v>
      </c>
      <c r="F568" s="14" t="s">
        <v>111</v>
      </c>
      <c r="G568" s="15">
        <f>96.8</f>
        <v>96.8</v>
      </c>
    </row>
    <row r="569" spans="1:7" s="96" customFormat="1" ht="46.8" x14ac:dyDescent="0.25">
      <c r="A569" s="29" t="s">
        <v>309</v>
      </c>
      <c r="B569" s="13" t="s">
        <v>16</v>
      </c>
      <c r="C569" s="13" t="s">
        <v>93</v>
      </c>
      <c r="D569" s="13" t="s">
        <v>1</v>
      </c>
      <c r="E569" s="13" t="s">
        <v>138</v>
      </c>
      <c r="F569" s="14"/>
      <c r="G569" s="15">
        <f>G570</f>
        <v>0</v>
      </c>
    </row>
    <row r="570" spans="1:7" s="96" customFormat="1" x14ac:dyDescent="0.25">
      <c r="A570" s="29" t="s">
        <v>117</v>
      </c>
      <c r="B570" s="13" t="s">
        <v>16</v>
      </c>
      <c r="C570" s="13" t="s">
        <v>93</v>
      </c>
      <c r="D570" s="13" t="s">
        <v>1</v>
      </c>
      <c r="E570" s="13" t="s">
        <v>138</v>
      </c>
      <c r="F570" s="14" t="s">
        <v>109</v>
      </c>
      <c r="G570" s="15"/>
    </row>
    <row r="571" spans="1:7" s="96" customFormat="1" x14ac:dyDescent="0.25">
      <c r="A571" s="31" t="s">
        <v>162</v>
      </c>
      <c r="B571" s="13" t="s">
        <v>16</v>
      </c>
      <c r="C571" s="13" t="s">
        <v>101</v>
      </c>
      <c r="D571" s="13"/>
      <c r="E571" s="13"/>
      <c r="F571" s="14"/>
      <c r="G571" s="15">
        <f>SUM(G572)</f>
        <v>38008.299999999996</v>
      </c>
    </row>
    <row r="572" spans="1:7" s="96" customFormat="1" ht="78" x14ac:dyDescent="0.25">
      <c r="A572" s="32" t="s">
        <v>81</v>
      </c>
      <c r="B572" s="13" t="s">
        <v>16</v>
      </c>
      <c r="C572" s="13" t="s">
        <v>101</v>
      </c>
      <c r="D572" s="13" t="s">
        <v>0</v>
      </c>
      <c r="E572" s="13"/>
      <c r="F572" s="14"/>
      <c r="G572" s="15">
        <f>SUM(G573)</f>
        <v>38008.299999999996</v>
      </c>
    </row>
    <row r="573" spans="1:7" s="96" customFormat="1" ht="46.8" x14ac:dyDescent="0.25">
      <c r="A573" s="31" t="s">
        <v>28</v>
      </c>
      <c r="B573" s="13" t="s">
        <v>16</v>
      </c>
      <c r="C573" s="13" t="s">
        <v>101</v>
      </c>
      <c r="D573" s="13" t="s">
        <v>0</v>
      </c>
      <c r="E573" s="13" t="s">
        <v>51</v>
      </c>
      <c r="F573" s="14"/>
      <c r="G573" s="15">
        <f>SUM(G574:G576)</f>
        <v>38008.299999999996</v>
      </c>
    </row>
    <row r="574" spans="1:7" s="96" customFormat="1" ht="46.8" x14ac:dyDescent="0.25">
      <c r="A574" s="29" t="s">
        <v>114</v>
      </c>
      <c r="B574" s="13" t="s">
        <v>16</v>
      </c>
      <c r="C574" s="13" t="s">
        <v>101</v>
      </c>
      <c r="D574" s="13" t="s">
        <v>0</v>
      </c>
      <c r="E574" s="13" t="s">
        <v>51</v>
      </c>
      <c r="F574" s="14" t="s">
        <v>19</v>
      </c>
      <c r="G574" s="15">
        <v>26113.599999999999</v>
      </c>
    </row>
    <row r="575" spans="1:7" s="96" customFormat="1" ht="31.2" x14ac:dyDescent="0.25">
      <c r="A575" s="29" t="s">
        <v>115</v>
      </c>
      <c r="B575" s="13" t="s">
        <v>16</v>
      </c>
      <c r="C575" s="13" t="s">
        <v>101</v>
      </c>
      <c r="D575" s="13" t="s">
        <v>0</v>
      </c>
      <c r="E575" s="13" t="s">
        <v>51</v>
      </c>
      <c r="F575" s="14" t="s">
        <v>20</v>
      </c>
      <c r="G575" s="15">
        <f>11667.2+1.3+21.9+43.4+105.1-1.4</f>
        <v>11837.5</v>
      </c>
    </row>
    <row r="576" spans="1:7" s="96" customFormat="1" x14ac:dyDescent="0.25">
      <c r="A576" s="29" t="s">
        <v>21</v>
      </c>
      <c r="B576" s="13" t="s">
        <v>16</v>
      </c>
      <c r="C576" s="13" t="s">
        <v>101</v>
      </c>
      <c r="D576" s="13" t="s">
        <v>0</v>
      </c>
      <c r="E576" s="13" t="s">
        <v>51</v>
      </c>
      <c r="F576" s="14" t="s">
        <v>22</v>
      </c>
      <c r="G576" s="15">
        <v>57.2</v>
      </c>
    </row>
    <row r="577" spans="1:7" s="96" customFormat="1" ht="46.8" x14ac:dyDescent="0.25">
      <c r="A577" s="31" t="s">
        <v>634</v>
      </c>
      <c r="B577" s="13" t="s">
        <v>16</v>
      </c>
      <c r="C577" s="13" t="s">
        <v>65</v>
      </c>
      <c r="D577" s="13"/>
      <c r="E577" s="13"/>
      <c r="F577" s="14"/>
      <c r="G577" s="15">
        <f>G578</f>
        <v>1498.5</v>
      </c>
    </row>
    <row r="578" spans="1:7" s="96" customFormat="1" ht="31.2" x14ac:dyDescent="0.25">
      <c r="A578" s="31" t="s">
        <v>635</v>
      </c>
      <c r="B578" s="13" t="s">
        <v>16</v>
      </c>
      <c r="C578" s="13" t="s">
        <v>65</v>
      </c>
      <c r="D578" s="13" t="s">
        <v>0</v>
      </c>
      <c r="E578" s="13"/>
      <c r="F578" s="14"/>
      <c r="G578" s="15">
        <f>G579</f>
        <v>1498.5</v>
      </c>
    </row>
    <row r="579" spans="1:7" s="96" customFormat="1" x14ac:dyDescent="0.25">
      <c r="A579" s="31" t="s">
        <v>637</v>
      </c>
      <c r="B579" s="13" t="s">
        <v>16</v>
      </c>
      <c r="C579" s="13" t="s">
        <v>65</v>
      </c>
      <c r="D579" s="13" t="s">
        <v>0</v>
      </c>
      <c r="E579" s="13" t="s">
        <v>636</v>
      </c>
      <c r="F579" s="14"/>
      <c r="G579" s="15">
        <f>G580</f>
        <v>1498.5</v>
      </c>
    </row>
    <row r="580" spans="1:7" s="96" customFormat="1" ht="31.2" x14ac:dyDescent="0.25">
      <c r="A580" s="29" t="s">
        <v>115</v>
      </c>
      <c r="B580" s="13" t="s">
        <v>16</v>
      </c>
      <c r="C580" s="13" t="s">
        <v>65</v>
      </c>
      <c r="D580" s="13" t="s">
        <v>0</v>
      </c>
      <c r="E580" s="13" t="s">
        <v>636</v>
      </c>
      <c r="F580" s="14" t="s">
        <v>20</v>
      </c>
      <c r="G580" s="15">
        <v>1498.5</v>
      </c>
    </row>
    <row r="581" spans="1:7" s="96" customFormat="1" x14ac:dyDescent="0.25">
      <c r="A581" s="29" t="s">
        <v>465</v>
      </c>
      <c r="B581" s="13" t="s">
        <v>16</v>
      </c>
      <c r="C581" s="13" t="s">
        <v>139</v>
      </c>
      <c r="D581" s="13"/>
      <c r="E581" s="13"/>
      <c r="F581" s="14"/>
      <c r="G581" s="15">
        <f>G582</f>
        <v>156024.6</v>
      </c>
    </row>
    <row r="582" spans="1:7" s="96" customFormat="1" ht="31.5" customHeight="1" x14ac:dyDescent="0.25">
      <c r="A582" s="29" t="s">
        <v>391</v>
      </c>
      <c r="B582" s="13" t="s">
        <v>16</v>
      </c>
      <c r="C582" s="13" t="s">
        <v>139</v>
      </c>
      <c r="D582" s="13" t="s">
        <v>0</v>
      </c>
      <c r="E582" s="13"/>
      <c r="F582" s="14"/>
      <c r="G582" s="15">
        <f>G583</f>
        <v>156024.6</v>
      </c>
    </row>
    <row r="583" spans="1:7" s="96" customFormat="1" ht="46.8" x14ac:dyDescent="0.25">
      <c r="A583" s="29" t="s">
        <v>392</v>
      </c>
      <c r="B583" s="13" t="s">
        <v>16</v>
      </c>
      <c r="C583" s="13" t="s">
        <v>139</v>
      </c>
      <c r="D583" s="13" t="s">
        <v>0</v>
      </c>
      <c r="E583" s="13" t="s">
        <v>140</v>
      </c>
      <c r="F583" s="14"/>
      <c r="G583" s="15">
        <f>G585+G584</f>
        <v>156024.6</v>
      </c>
    </row>
    <row r="584" spans="1:7" s="96" customFormat="1" ht="31.2" x14ac:dyDescent="0.25">
      <c r="A584" s="29" t="s">
        <v>115</v>
      </c>
      <c r="B584" s="13" t="s">
        <v>16</v>
      </c>
      <c r="C584" s="13" t="s">
        <v>139</v>
      </c>
      <c r="D584" s="13" t="s">
        <v>0</v>
      </c>
      <c r="E584" s="13" t="s">
        <v>140</v>
      </c>
      <c r="F584" s="14" t="s">
        <v>20</v>
      </c>
      <c r="G584" s="15">
        <f>3348+14391</f>
        <v>17739</v>
      </c>
    </row>
    <row r="585" spans="1:7" s="96" customFormat="1" ht="31.2" x14ac:dyDescent="0.25">
      <c r="A585" s="30" t="s">
        <v>116</v>
      </c>
      <c r="B585" s="13" t="s">
        <v>16</v>
      </c>
      <c r="C585" s="13" t="s">
        <v>139</v>
      </c>
      <c r="D585" s="13" t="s">
        <v>0</v>
      </c>
      <c r="E585" s="13" t="s">
        <v>140</v>
      </c>
      <c r="F585" s="14" t="s">
        <v>111</v>
      </c>
      <c r="G585" s="15">
        <f>13924.8+14402.2+2916+1620+6694.2+432+4212+2948.4+1638+4258.8-3380.2-2948.4-1638+602.4-1050.6+94856.5+12439.5+4950+17307+1320-23420.7-14391-7454.2+592.8+7454.2-0.1</f>
        <v>138285.6</v>
      </c>
    </row>
    <row r="586" spans="1:7" s="96" customFormat="1" x14ac:dyDescent="0.25">
      <c r="A586" s="31" t="s">
        <v>163</v>
      </c>
      <c r="B586" s="13" t="s">
        <v>60</v>
      </c>
      <c r="C586" s="13"/>
      <c r="D586" s="13"/>
      <c r="E586" s="13"/>
      <c r="F586" s="14"/>
      <c r="G586" s="15">
        <f>SUM(G587)</f>
        <v>200822.3</v>
      </c>
    </row>
    <row r="587" spans="1:7" s="96" customFormat="1" ht="46.8" x14ac:dyDescent="0.25">
      <c r="A587" s="31" t="s">
        <v>456</v>
      </c>
      <c r="B587" s="13" t="s">
        <v>60</v>
      </c>
      <c r="C587" s="13" t="s">
        <v>58</v>
      </c>
      <c r="D587" s="13"/>
      <c r="E587" s="13"/>
      <c r="F587" s="14"/>
      <c r="G587" s="15">
        <f>SUM(G588+G596+G605+G610)</f>
        <v>200822.3</v>
      </c>
    </row>
    <row r="588" spans="1:7" s="96" customFormat="1" x14ac:dyDescent="0.25">
      <c r="A588" s="31" t="s">
        <v>553</v>
      </c>
      <c r="B588" s="13" t="s">
        <v>60</v>
      </c>
      <c r="C588" s="13" t="s">
        <v>58</v>
      </c>
      <c r="D588" s="13" t="s">
        <v>0</v>
      </c>
      <c r="E588" s="13"/>
      <c r="F588" s="14"/>
      <c r="G588" s="15">
        <f>SUM(G589+G592)</f>
        <v>61026.9</v>
      </c>
    </row>
    <row r="589" spans="1:7" s="96" customFormat="1" ht="46.8" x14ac:dyDescent="0.25">
      <c r="A589" s="31" t="s">
        <v>28</v>
      </c>
      <c r="B589" s="13" t="s">
        <v>60</v>
      </c>
      <c r="C589" s="13" t="s">
        <v>58</v>
      </c>
      <c r="D589" s="13" t="s">
        <v>0</v>
      </c>
      <c r="E589" s="13" t="s">
        <v>51</v>
      </c>
      <c r="F589" s="14"/>
      <c r="G589" s="15">
        <f>SUM(G590:G591)</f>
        <v>20495.099999999999</v>
      </c>
    </row>
    <row r="590" spans="1:7" s="96" customFormat="1" ht="31.2" x14ac:dyDescent="0.25">
      <c r="A590" s="30" t="s">
        <v>116</v>
      </c>
      <c r="B590" s="13" t="s">
        <v>60</v>
      </c>
      <c r="C590" s="13" t="s">
        <v>58</v>
      </c>
      <c r="D590" s="13" t="s">
        <v>0</v>
      </c>
      <c r="E590" s="13" t="s">
        <v>51</v>
      </c>
      <c r="F590" s="14" t="s">
        <v>111</v>
      </c>
      <c r="G590" s="15">
        <f>46519.5-25798.9-225.5</f>
        <v>20495.099999999999</v>
      </c>
    </row>
    <row r="591" spans="1:7" s="96" customFormat="1" x14ac:dyDescent="0.25">
      <c r="A591" s="29" t="s">
        <v>21</v>
      </c>
      <c r="B591" s="13" t="s">
        <v>60</v>
      </c>
      <c r="C591" s="13" t="s">
        <v>58</v>
      </c>
      <c r="D591" s="13" t="s">
        <v>0</v>
      </c>
      <c r="E591" s="13" t="s">
        <v>51</v>
      </c>
      <c r="F591" s="14" t="s">
        <v>22</v>
      </c>
      <c r="G591" s="15"/>
    </row>
    <row r="592" spans="1:7" s="96" customFormat="1" ht="46.8" x14ac:dyDescent="0.25">
      <c r="A592" s="29" t="s">
        <v>495</v>
      </c>
      <c r="B592" s="13" t="s">
        <v>60</v>
      </c>
      <c r="C592" s="13" t="s">
        <v>58</v>
      </c>
      <c r="D592" s="13" t="s">
        <v>0</v>
      </c>
      <c r="E592" s="13" t="s">
        <v>496</v>
      </c>
      <c r="F592" s="14"/>
      <c r="G592" s="15">
        <f>SUM(G593+G594+G595)</f>
        <v>40531.800000000003</v>
      </c>
    </row>
    <row r="593" spans="1:7" s="96" customFormat="1" ht="46.8" x14ac:dyDescent="0.25">
      <c r="A593" s="29" t="s">
        <v>114</v>
      </c>
      <c r="B593" s="13" t="s">
        <v>60</v>
      </c>
      <c r="C593" s="13" t="s">
        <v>58</v>
      </c>
      <c r="D593" s="13" t="s">
        <v>0</v>
      </c>
      <c r="E593" s="13" t="s">
        <v>496</v>
      </c>
      <c r="F593" s="14" t="s">
        <v>19</v>
      </c>
      <c r="G593" s="15">
        <v>25798.9</v>
      </c>
    </row>
    <row r="594" spans="1:7" s="96" customFormat="1" ht="31.2" x14ac:dyDescent="0.25">
      <c r="A594" s="29" t="s">
        <v>115</v>
      </c>
      <c r="B594" s="13" t="s">
        <v>60</v>
      </c>
      <c r="C594" s="13" t="s">
        <v>58</v>
      </c>
      <c r="D594" s="13" t="s">
        <v>0</v>
      </c>
      <c r="E594" s="13" t="s">
        <v>496</v>
      </c>
      <c r="F594" s="14" t="s">
        <v>20</v>
      </c>
      <c r="G594" s="15">
        <f>225.5+218.8</f>
        <v>444.3</v>
      </c>
    </row>
    <row r="595" spans="1:7" s="96" customFormat="1" ht="31.2" x14ac:dyDescent="0.25">
      <c r="A595" s="30" t="s">
        <v>116</v>
      </c>
      <c r="B595" s="13" t="s">
        <v>60</v>
      </c>
      <c r="C595" s="13" t="s">
        <v>58</v>
      </c>
      <c r="D595" s="13" t="s">
        <v>0</v>
      </c>
      <c r="E595" s="13" t="s">
        <v>496</v>
      </c>
      <c r="F595" s="14" t="s">
        <v>111</v>
      </c>
      <c r="G595" s="15">
        <v>14288.6</v>
      </c>
    </row>
    <row r="596" spans="1:7" s="96" customFormat="1" ht="46.8" x14ac:dyDescent="0.25">
      <c r="A596" s="31" t="s">
        <v>449</v>
      </c>
      <c r="B596" s="13" t="s">
        <v>60</v>
      </c>
      <c r="C596" s="13" t="s">
        <v>58</v>
      </c>
      <c r="D596" s="13" t="s">
        <v>1</v>
      </c>
      <c r="E596" s="13"/>
      <c r="F596" s="14"/>
      <c r="G596" s="15">
        <f>SUM(G597+G601+G603)</f>
        <v>18164.900000000001</v>
      </c>
    </row>
    <row r="597" spans="1:7" s="96" customFormat="1" x14ac:dyDescent="0.25">
      <c r="A597" s="31" t="s">
        <v>26</v>
      </c>
      <c r="B597" s="13" t="s">
        <v>60</v>
      </c>
      <c r="C597" s="13" t="s">
        <v>58</v>
      </c>
      <c r="D597" s="13" t="s">
        <v>1</v>
      </c>
      <c r="E597" s="13" t="s">
        <v>41</v>
      </c>
      <c r="F597" s="14"/>
      <c r="G597" s="15">
        <f>SUM(G598:G600)</f>
        <v>18040.900000000001</v>
      </c>
    </row>
    <row r="598" spans="1:7" s="96" customFormat="1" ht="46.8" x14ac:dyDescent="0.25">
      <c r="A598" s="29" t="s">
        <v>114</v>
      </c>
      <c r="B598" s="13" t="s">
        <v>60</v>
      </c>
      <c r="C598" s="13" t="s">
        <v>58</v>
      </c>
      <c r="D598" s="13" t="s">
        <v>1</v>
      </c>
      <c r="E598" s="13" t="s">
        <v>41</v>
      </c>
      <c r="F598" s="14" t="s">
        <v>19</v>
      </c>
      <c r="G598" s="15">
        <v>17917</v>
      </c>
    </row>
    <row r="599" spans="1:7" s="96" customFormat="1" ht="31.2" x14ac:dyDescent="0.25">
      <c r="A599" s="29" t="s">
        <v>115</v>
      </c>
      <c r="B599" s="13" t="s">
        <v>60</v>
      </c>
      <c r="C599" s="13" t="s">
        <v>58</v>
      </c>
      <c r="D599" s="13" t="s">
        <v>1</v>
      </c>
      <c r="E599" s="13" t="s">
        <v>41</v>
      </c>
      <c r="F599" s="14" t="s">
        <v>20</v>
      </c>
      <c r="G599" s="15">
        <v>123.9</v>
      </c>
    </row>
    <row r="600" spans="1:7" s="96" customFormat="1" x14ac:dyDescent="0.25">
      <c r="A600" s="29" t="s">
        <v>21</v>
      </c>
      <c r="B600" s="13" t="s">
        <v>60</v>
      </c>
      <c r="C600" s="13" t="s">
        <v>58</v>
      </c>
      <c r="D600" s="13" t="s">
        <v>1</v>
      </c>
      <c r="E600" s="13" t="s">
        <v>41</v>
      </c>
      <c r="F600" s="14" t="s">
        <v>22</v>
      </c>
      <c r="G600" s="15"/>
    </row>
    <row r="601" spans="1:7" s="96" customFormat="1" x14ac:dyDescent="0.25">
      <c r="A601" s="29" t="s">
        <v>228</v>
      </c>
      <c r="B601" s="13" t="s">
        <v>60</v>
      </c>
      <c r="C601" s="25">
        <v>1</v>
      </c>
      <c r="D601" s="13" t="s">
        <v>1</v>
      </c>
      <c r="E601" s="13" t="s">
        <v>229</v>
      </c>
      <c r="F601" s="13"/>
      <c r="G601" s="15">
        <f>SUM(G602)</f>
        <v>103</v>
      </c>
    </row>
    <row r="602" spans="1:7" s="96" customFormat="1" ht="31.2" x14ac:dyDescent="0.25">
      <c r="A602" s="29" t="s">
        <v>115</v>
      </c>
      <c r="B602" s="13" t="s">
        <v>60</v>
      </c>
      <c r="C602" s="25">
        <v>1</v>
      </c>
      <c r="D602" s="13" t="s">
        <v>1</v>
      </c>
      <c r="E602" s="13" t="s">
        <v>229</v>
      </c>
      <c r="F602" s="13" t="s">
        <v>20</v>
      </c>
      <c r="G602" s="15">
        <f>70+33</f>
        <v>103</v>
      </c>
    </row>
    <row r="603" spans="1:7" s="96" customFormat="1" x14ac:dyDescent="0.25">
      <c r="A603" s="29" t="s">
        <v>234</v>
      </c>
      <c r="B603" s="13" t="s">
        <v>60</v>
      </c>
      <c r="C603" s="13" t="s">
        <v>58</v>
      </c>
      <c r="D603" s="13" t="s">
        <v>1</v>
      </c>
      <c r="E603" s="13" t="s">
        <v>235</v>
      </c>
      <c r="F603" s="14"/>
      <c r="G603" s="15">
        <f>SUM(G604)</f>
        <v>21</v>
      </c>
    </row>
    <row r="604" spans="1:7" s="96" customFormat="1" ht="31.2" x14ac:dyDescent="0.25">
      <c r="A604" s="29" t="s">
        <v>115</v>
      </c>
      <c r="B604" s="13" t="s">
        <v>60</v>
      </c>
      <c r="C604" s="13" t="s">
        <v>58</v>
      </c>
      <c r="D604" s="13" t="s">
        <v>1</v>
      </c>
      <c r="E604" s="13" t="s">
        <v>235</v>
      </c>
      <c r="F604" s="14" t="s">
        <v>20</v>
      </c>
      <c r="G604" s="15">
        <v>21</v>
      </c>
    </row>
    <row r="605" spans="1:7" s="96" customFormat="1" ht="31.2" x14ac:dyDescent="0.25">
      <c r="A605" s="31" t="s">
        <v>413</v>
      </c>
      <c r="B605" s="13" t="s">
        <v>60</v>
      </c>
      <c r="C605" s="13" t="s">
        <v>58</v>
      </c>
      <c r="D605" s="13" t="s">
        <v>2</v>
      </c>
      <c r="E605" s="13"/>
      <c r="F605" s="14"/>
      <c r="G605" s="15">
        <f>SUM(G606)</f>
        <v>6267.9</v>
      </c>
    </row>
    <row r="606" spans="1:7" s="96" customFormat="1" ht="31.2" x14ac:dyDescent="0.25">
      <c r="A606" s="31" t="s">
        <v>165</v>
      </c>
      <c r="B606" s="13" t="s">
        <v>60</v>
      </c>
      <c r="C606" s="13" t="s">
        <v>58</v>
      </c>
      <c r="D606" s="13" t="s">
        <v>2</v>
      </c>
      <c r="E606" s="13" t="s">
        <v>82</v>
      </c>
      <c r="F606" s="14"/>
      <c r="G606" s="15">
        <f>SUM(G607:G609)</f>
        <v>6267.9</v>
      </c>
    </row>
    <row r="607" spans="1:7" s="96" customFormat="1" ht="31.2" x14ac:dyDescent="0.25">
      <c r="A607" s="29" t="s">
        <v>115</v>
      </c>
      <c r="B607" s="13" t="s">
        <v>60</v>
      </c>
      <c r="C607" s="13" t="s">
        <v>58</v>
      </c>
      <c r="D607" s="13" t="s">
        <v>2</v>
      </c>
      <c r="E607" s="13" t="s">
        <v>82</v>
      </c>
      <c r="F607" s="14" t="s">
        <v>20</v>
      </c>
      <c r="G607" s="15">
        <f>780+5407.3+1.9+7.4+71.3</f>
        <v>6267.9</v>
      </c>
    </row>
    <row r="608" spans="1:7" s="96" customFormat="1" ht="31.2" x14ac:dyDescent="0.25">
      <c r="A608" s="29" t="s">
        <v>118</v>
      </c>
      <c r="B608" s="13" t="s">
        <v>60</v>
      </c>
      <c r="C608" s="13" t="s">
        <v>58</v>
      </c>
      <c r="D608" s="13" t="s">
        <v>2</v>
      </c>
      <c r="E608" s="13" t="s">
        <v>82</v>
      </c>
      <c r="F608" s="14" t="s">
        <v>119</v>
      </c>
      <c r="G608" s="15"/>
    </row>
    <row r="609" spans="1:7" s="96" customFormat="1" x14ac:dyDescent="0.25">
      <c r="A609" s="29" t="s">
        <v>21</v>
      </c>
      <c r="B609" s="13" t="s">
        <v>60</v>
      </c>
      <c r="C609" s="13" t="s">
        <v>58</v>
      </c>
      <c r="D609" s="13" t="s">
        <v>2</v>
      </c>
      <c r="E609" s="13" t="s">
        <v>82</v>
      </c>
      <c r="F609" s="14" t="s">
        <v>22</v>
      </c>
      <c r="G609" s="15"/>
    </row>
    <row r="610" spans="1:7" s="96" customFormat="1" ht="31.2" x14ac:dyDescent="0.25">
      <c r="A610" s="31" t="s">
        <v>205</v>
      </c>
      <c r="B610" s="13" t="s">
        <v>60</v>
      </c>
      <c r="C610" s="13" t="s">
        <v>58</v>
      </c>
      <c r="D610" s="13" t="s">
        <v>3</v>
      </c>
      <c r="E610" s="13"/>
      <c r="F610" s="13"/>
      <c r="G610" s="15">
        <f>SUM(G611+G614)</f>
        <v>115362.59999999999</v>
      </c>
    </row>
    <row r="611" spans="1:7" s="96" customFormat="1" ht="48" customHeight="1" x14ac:dyDescent="0.25">
      <c r="A611" s="29" t="s">
        <v>347</v>
      </c>
      <c r="B611" s="13" t="s">
        <v>60</v>
      </c>
      <c r="C611" s="13" t="s">
        <v>58</v>
      </c>
      <c r="D611" s="13" t="s">
        <v>3</v>
      </c>
      <c r="E611" s="13" t="s">
        <v>315</v>
      </c>
      <c r="F611" s="13"/>
      <c r="G611" s="15">
        <f>SUM(G612:G613)</f>
        <v>115362.59999999999</v>
      </c>
    </row>
    <row r="612" spans="1:7" s="96" customFormat="1" ht="31.2" x14ac:dyDescent="0.25">
      <c r="A612" s="29" t="s">
        <v>115</v>
      </c>
      <c r="B612" s="13" t="s">
        <v>60</v>
      </c>
      <c r="C612" s="13" t="s">
        <v>58</v>
      </c>
      <c r="D612" s="13" t="s">
        <v>3</v>
      </c>
      <c r="E612" s="13" t="s">
        <v>315</v>
      </c>
      <c r="F612" s="13" t="s">
        <v>20</v>
      </c>
      <c r="G612" s="15">
        <v>111.4</v>
      </c>
    </row>
    <row r="613" spans="1:7" s="96" customFormat="1" ht="31.2" x14ac:dyDescent="0.25">
      <c r="A613" s="29" t="s">
        <v>118</v>
      </c>
      <c r="B613" s="13" t="s">
        <v>60</v>
      </c>
      <c r="C613" s="13" t="s">
        <v>58</v>
      </c>
      <c r="D613" s="13" t="s">
        <v>3</v>
      </c>
      <c r="E613" s="13" t="s">
        <v>315</v>
      </c>
      <c r="F613" s="13" t="s">
        <v>119</v>
      </c>
      <c r="G613" s="15">
        <v>115251.2</v>
      </c>
    </row>
    <row r="614" spans="1:7" s="96" customFormat="1" ht="51" customHeight="1" x14ac:dyDescent="0.25">
      <c r="A614" s="29" t="s">
        <v>347</v>
      </c>
      <c r="B614" s="13" t="s">
        <v>60</v>
      </c>
      <c r="C614" s="13" t="s">
        <v>58</v>
      </c>
      <c r="D614" s="13" t="s">
        <v>3</v>
      </c>
      <c r="E614" s="13" t="s">
        <v>241</v>
      </c>
      <c r="F614" s="13"/>
      <c r="G614" s="15">
        <f>SUM(G615)</f>
        <v>0</v>
      </c>
    </row>
    <row r="615" spans="1:7" s="96" customFormat="1" ht="31.2" x14ac:dyDescent="0.25">
      <c r="A615" s="29" t="s">
        <v>118</v>
      </c>
      <c r="B615" s="13" t="s">
        <v>60</v>
      </c>
      <c r="C615" s="13" t="s">
        <v>58</v>
      </c>
      <c r="D615" s="13" t="s">
        <v>3</v>
      </c>
      <c r="E615" s="13" t="s">
        <v>241</v>
      </c>
      <c r="F615" s="13" t="s">
        <v>119</v>
      </c>
      <c r="G615" s="15">
        <v>0</v>
      </c>
    </row>
    <row r="616" spans="1:7" s="96" customFormat="1" x14ac:dyDescent="0.25">
      <c r="A616" s="31" t="s">
        <v>393</v>
      </c>
      <c r="B616" s="13" t="s">
        <v>57</v>
      </c>
      <c r="C616" s="13"/>
      <c r="D616" s="13"/>
      <c r="E616" s="13"/>
      <c r="F616" s="14"/>
      <c r="G616" s="15">
        <f>SUM(G617+G621+G625+G629+G633)</f>
        <v>58269</v>
      </c>
    </row>
    <row r="617" spans="1:7" s="96" customFormat="1" x14ac:dyDescent="0.25">
      <c r="A617" s="31" t="s">
        <v>394</v>
      </c>
      <c r="B617" s="13" t="s">
        <v>57</v>
      </c>
      <c r="C617" s="13" t="s">
        <v>58</v>
      </c>
      <c r="D617" s="13"/>
      <c r="E617" s="13"/>
      <c r="F617" s="14"/>
      <c r="G617" s="15">
        <f>SUM(G618)</f>
        <v>1744.4</v>
      </c>
    </row>
    <row r="618" spans="1:7" s="96" customFormat="1" ht="49.95" customHeight="1" x14ac:dyDescent="0.25">
      <c r="A618" s="31" t="s">
        <v>395</v>
      </c>
      <c r="B618" s="13" t="s">
        <v>57</v>
      </c>
      <c r="C618" s="13" t="s">
        <v>58</v>
      </c>
      <c r="D618" s="13" t="s">
        <v>0</v>
      </c>
      <c r="E618" s="13"/>
      <c r="F618" s="14"/>
      <c r="G618" s="15">
        <f>SUM(G619)</f>
        <v>1744.4</v>
      </c>
    </row>
    <row r="619" spans="1:7" s="96" customFormat="1" ht="31.2" x14ac:dyDescent="0.25">
      <c r="A619" s="31" t="s">
        <v>555</v>
      </c>
      <c r="B619" s="13" t="s">
        <v>57</v>
      </c>
      <c r="C619" s="13" t="s">
        <v>58</v>
      </c>
      <c r="D619" s="13" t="s">
        <v>0</v>
      </c>
      <c r="E619" s="13" t="s">
        <v>61</v>
      </c>
      <c r="F619" s="14"/>
      <c r="G619" s="15">
        <f>SUM(G620:G620)</f>
        <v>1744.4</v>
      </c>
    </row>
    <row r="620" spans="1:7" s="96" customFormat="1" ht="31.2" x14ac:dyDescent="0.25">
      <c r="A620" s="29" t="s">
        <v>115</v>
      </c>
      <c r="B620" s="13" t="s">
        <v>57</v>
      </c>
      <c r="C620" s="13" t="s">
        <v>58</v>
      </c>
      <c r="D620" s="13" t="s">
        <v>0</v>
      </c>
      <c r="E620" s="13" t="s">
        <v>61</v>
      </c>
      <c r="F620" s="14" t="s">
        <v>20</v>
      </c>
      <c r="G620" s="15">
        <v>1744.4</v>
      </c>
    </row>
    <row r="621" spans="1:7" s="96" customFormat="1" x14ac:dyDescent="0.25">
      <c r="A621" s="31" t="s">
        <v>166</v>
      </c>
      <c r="B621" s="13" t="s">
        <v>57</v>
      </c>
      <c r="C621" s="13" t="s">
        <v>93</v>
      </c>
      <c r="D621" s="13"/>
      <c r="E621" s="13"/>
      <c r="F621" s="14"/>
      <c r="G621" s="15">
        <f>SUM(G622)</f>
        <v>33597</v>
      </c>
    </row>
    <row r="622" spans="1:7" s="96" customFormat="1" ht="31.2" x14ac:dyDescent="0.25">
      <c r="A622" s="29" t="s">
        <v>62</v>
      </c>
      <c r="B622" s="13" t="s">
        <v>57</v>
      </c>
      <c r="C622" s="13" t="s">
        <v>93</v>
      </c>
      <c r="D622" s="13" t="s">
        <v>0</v>
      </c>
      <c r="E622" s="13"/>
      <c r="F622" s="14"/>
      <c r="G622" s="15">
        <f>SUM(G623)</f>
        <v>33597</v>
      </c>
    </row>
    <row r="623" spans="1:7" s="96" customFormat="1" x14ac:dyDescent="0.25">
      <c r="A623" s="31" t="s">
        <v>176</v>
      </c>
      <c r="B623" s="13" t="s">
        <v>57</v>
      </c>
      <c r="C623" s="13">
        <v>2</v>
      </c>
      <c r="D623" s="13" t="s">
        <v>0</v>
      </c>
      <c r="E623" s="13" t="s">
        <v>177</v>
      </c>
      <c r="F623" s="14"/>
      <c r="G623" s="15">
        <f>SUM(G624:G624)</f>
        <v>33597</v>
      </c>
    </row>
    <row r="624" spans="1:7" s="96" customFormat="1" x14ac:dyDescent="0.25">
      <c r="A624" s="30" t="s">
        <v>117</v>
      </c>
      <c r="B624" s="13" t="s">
        <v>57</v>
      </c>
      <c r="C624" s="13">
        <v>2</v>
      </c>
      <c r="D624" s="13" t="s">
        <v>0</v>
      </c>
      <c r="E624" s="13" t="s">
        <v>177</v>
      </c>
      <c r="F624" s="14" t="s">
        <v>109</v>
      </c>
      <c r="G624" s="15">
        <f>18142.5+15454.7-0.1-0.1</f>
        <v>33597</v>
      </c>
    </row>
    <row r="625" spans="1:7" s="96" customFormat="1" x14ac:dyDescent="0.25">
      <c r="A625" s="31" t="s">
        <v>397</v>
      </c>
      <c r="B625" s="13" t="s">
        <v>57</v>
      </c>
      <c r="C625" s="13" t="s">
        <v>65</v>
      </c>
      <c r="D625" s="13"/>
      <c r="E625" s="13"/>
      <c r="F625" s="14"/>
      <c r="G625" s="15">
        <f>SUM(G626)</f>
        <v>13595.1</v>
      </c>
    </row>
    <row r="626" spans="1:7" s="96" customFormat="1" ht="31.2" x14ac:dyDescent="0.25">
      <c r="A626" s="29" t="s">
        <v>66</v>
      </c>
      <c r="B626" s="13" t="s">
        <v>57</v>
      </c>
      <c r="C626" s="13" t="s">
        <v>65</v>
      </c>
      <c r="D626" s="13" t="s">
        <v>0</v>
      </c>
      <c r="E626" s="13"/>
      <c r="F626" s="14"/>
      <c r="G626" s="15">
        <f>SUM(G627)</f>
        <v>13595.1</v>
      </c>
    </row>
    <row r="627" spans="1:7" s="96" customFormat="1" ht="31.2" x14ac:dyDescent="0.25">
      <c r="A627" s="31" t="s">
        <v>554</v>
      </c>
      <c r="B627" s="13" t="s">
        <v>57</v>
      </c>
      <c r="C627" s="13" t="s">
        <v>65</v>
      </c>
      <c r="D627" s="13" t="s">
        <v>0</v>
      </c>
      <c r="E627" s="13" t="s">
        <v>67</v>
      </c>
      <c r="F627" s="14"/>
      <c r="G627" s="15">
        <f>SUM(G628:G628)</f>
        <v>13595.1</v>
      </c>
    </row>
    <row r="628" spans="1:7" s="96" customFormat="1" ht="31.2" x14ac:dyDescent="0.25">
      <c r="A628" s="29" t="s">
        <v>115</v>
      </c>
      <c r="B628" s="13" t="s">
        <v>57</v>
      </c>
      <c r="C628" s="13" t="s">
        <v>65</v>
      </c>
      <c r="D628" s="13" t="s">
        <v>0</v>
      </c>
      <c r="E628" s="13" t="s">
        <v>67</v>
      </c>
      <c r="F628" s="14" t="s">
        <v>20</v>
      </c>
      <c r="G628" s="15">
        <f>8663.7+2504+2427.4</f>
        <v>13595.1</v>
      </c>
    </row>
    <row r="629" spans="1:7" s="96" customFormat="1" ht="46.8" x14ac:dyDescent="0.25">
      <c r="A629" s="29" t="s">
        <v>435</v>
      </c>
      <c r="B629" s="13" t="s">
        <v>57</v>
      </c>
      <c r="C629" s="13" t="s">
        <v>139</v>
      </c>
      <c r="D629" s="13"/>
      <c r="E629" s="13"/>
      <c r="F629" s="14"/>
      <c r="G629" s="15">
        <f>G630</f>
        <v>968.4</v>
      </c>
    </row>
    <row r="630" spans="1:7" s="96" customFormat="1" ht="46.8" x14ac:dyDescent="0.25">
      <c r="A630" s="29" t="s">
        <v>437</v>
      </c>
      <c r="B630" s="13" t="s">
        <v>57</v>
      </c>
      <c r="C630" s="13" t="s">
        <v>139</v>
      </c>
      <c r="D630" s="13" t="s">
        <v>0</v>
      </c>
      <c r="E630" s="13"/>
      <c r="F630" s="14"/>
      <c r="G630" s="15">
        <f>G631</f>
        <v>968.4</v>
      </c>
    </row>
    <row r="631" spans="1:7" s="96" customFormat="1" ht="46.8" x14ac:dyDescent="0.25">
      <c r="A631" s="29" t="s">
        <v>436</v>
      </c>
      <c r="B631" s="13" t="s">
        <v>57</v>
      </c>
      <c r="C631" s="13" t="s">
        <v>139</v>
      </c>
      <c r="D631" s="13" t="s">
        <v>0</v>
      </c>
      <c r="E631" s="13" t="s">
        <v>195</v>
      </c>
      <c r="F631" s="14"/>
      <c r="G631" s="15">
        <f>G632</f>
        <v>968.4</v>
      </c>
    </row>
    <row r="632" spans="1:7" s="96" customFormat="1" ht="31.2" x14ac:dyDescent="0.25">
      <c r="A632" s="29" t="s">
        <v>115</v>
      </c>
      <c r="B632" s="13" t="s">
        <v>57</v>
      </c>
      <c r="C632" s="13" t="s">
        <v>139</v>
      </c>
      <c r="D632" s="13" t="s">
        <v>0</v>
      </c>
      <c r="E632" s="13" t="s">
        <v>195</v>
      </c>
      <c r="F632" s="14" t="s">
        <v>20</v>
      </c>
      <c r="G632" s="15">
        <v>968.4</v>
      </c>
    </row>
    <row r="633" spans="1:7" s="96" customFormat="1" x14ac:dyDescent="0.25">
      <c r="A633" s="31" t="s">
        <v>399</v>
      </c>
      <c r="B633" s="13" t="s">
        <v>57</v>
      </c>
      <c r="C633" s="13" t="s">
        <v>298</v>
      </c>
      <c r="D633" s="13"/>
      <c r="E633" s="13"/>
      <c r="F633" s="14"/>
      <c r="G633" s="15">
        <f>SUM(G634)</f>
        <v>8364.1</v>
      </c>
    </row>
    <row r="634" spans="1:7" s="96" customFormat="1" ht="31.2" x14ac:dyDescent="0.25">
      <c r="A634" s="31" t="s">
        <v>438</v>
      </c>
      <c r="B634" s="13" t="s">
        <v>57</v>
      </c>
      <c r="C634" s="13" t="s">
        <v>298</v>
      </c>
      <c r="D634" s="13" t="s">
        <v>0</v>
      </c>
      <c r="E634" s="13"/>
      <c r="F634" s="14"/>
      <c r="G634" s="15">
        <f>SUM(G639+G636+G638)</f>
        <v>8364.1</v>
      </c>
    </row>
    <row r="635" spans="1:7" s="96" customFormat="1" ht="31.2" x14ac:dyDescent="0.25">
      <c r="A635" s="31" t="s">
        <v>400</v>
      </c>
      <c r="B635" s="13" t="s">
        <v>57</v>
      </c>
      <c r="C635" s="13" t="s">
        <v>298</v>
      </c>
      <c r="D635" s="13" t="s">
        <v>0</v>
      </c>
      <c r="E635" s="13" t="s">
        <v>196</v>
      </c>
      <c r="F635" s="14"/>
      <c r="G635" s="15">
        <f>SUM(G636)</f>
        <v>669.1</v>
      </c>
    </row>
    <row r="636" spans="1:7" s="96" customFormat="1" x14ac:dyDescent="0.25">
      <c r="A636" s="31" t="s">
        <v>21</v>
      </c>
      <c r="B636" s="13" t="s">
        <v>57</v>
      </c>
      <c r="C636" s="13" t="s">
        <v>298</v>
      </c>
      <c r="D636" s="13" t="s">
        <v>0</v>
      </c>
      <c r="E636" s="13" t="s">
        <v>196</v>
      </c>
      <c r="F636" s="14" t="s">
        <v>22</v>
      </c>
      <c r="G636" s="15">
        <v>669.1</v>
      </c>
    </row>
    <row r="637" spans="1:7" s="96" customFormat="1" ht="31.2" x14ac:dyDescent="0.25">
      <c r="A637" s="43" t="s">
        <v>199</v>
      </c>
      <c r="B637" s="13" t="s">
        <v>57</v>
      </c>
      <c r="C637" s="13" t="s">
        <v>298</v>
      </c>
      <c r="D637" s="13" t="s">
        <v>0</v>
      </c>
      <c r="E637" s="13" t="s">
        <v>46</v>
      </c>
      <c r="F637" s="14"/>
      <c r="G637" s="15">
        <f>SUM(G638)</f>
        <v>2205.9</v>
      </c>
    </row>
    <row r="638" spans="1:7" s="96" customFormat="1" x14ac:dyDescent="0.25">
      <c r="A638" s="29" t="s">
        <v>21</v>
      </c>
      <c r="B638" s="13" t="s">
        <v>57</v>
      </c>
      <c r="C638" s="13" t="s">
        <v>298</v>
      </c>
      <c r="D638" s="13" t="s">
        <v>0</v>
      </c>
      <c r="E638" s="13" t="s">
        <v>46</v>
      </c>
      <c r="F638" s="14" t="s">
        <v>22</v>
      </c>
      <c r="G638" s="15">
        <f>1945.9+260</f>
        <v>2205.9</v>
      </c>
    </row>
    <row r="639" spans="1:7" s="96" customFormat="1" ht="93.6" x14ac:dyDescent="0.25">
      <c r="A639" s="37" t="s">
        <v>460</v>
      </c>
      <c r="B639" s="13" t="s">
        <v>57</v>
      </c>
      <c r="C639" s="13" t="s">
        <v>298</v>
      </c>
      <c r="D639" s="13" t="s">
        <v>0</v>
      </c>
      <c r="E639" s="13" t="s">
        <v>56</v>
      </c>
      <c r="F639" s="14"/>
      <c r="G639" s="15">
        <f>SUM(G640)</f>
        <v>5489.1</v>
      </c>
    </row>
    <row r="640" spans="1:7" s="96" customFormat="1" ht="31.2" x14ac:dyDescent="0.25">
      <c r="A640" s="29" t="s">
        <v>115</v>
      </c>
      <c r="B640" s="13" t="s">
        <v>57</v>
      </c>
      <c r="C640" s="13" t="s">
        <v>298</v>
      </c>
      <c r="D640" s="13" t="s">
        <v>0</v>
      </c>
      <c r="E640" s="13" t="s">
        <v>56</v>
      </c>
      <c r="F640" s="14" t="s">
        <v>20</v>
      </c>
      <c r="G640" s="15">
        <f>78+5411.1</f>
        <v>5489.1</v>
      </c>
    </row>
    <row r="641" spans="1:7" s="96" customFormat="1" x14ac:dyDescent="0.25">
      <c r="A641" s="30" t="s">
        <v>401</v>
      </c>
      <c r="B641" s="13" t="s">
        <v>53</v>
      </c>
      <c r="C641" s="13"/>
      <c r="D641" s="13"/>
      <c r="E641" s="13"/>
      <c r="F641" s="14"/>
      <c r="G641" s="15">
        <f>SUM(G642)</f>
        <v>1591.1</v>
      </c>
    </row>
    <row r="642" spans="1:7" s="96" customFormat="1" x14ac:dyDescent="0.25">
      <c r="A642" s="30" t="s">
        <v>402</v>
      </c>
      <c r="B642" s="13" t="s">
        <v>53</v>
      </c>
      <c r="C642" s="13" t="s">
        <v>58</v>
      </c>
      <c r="D642" s="13"/>
      <c r="E642" s="13"/>
      <c r="F642" s="14"/>
      <c r="G642" s="15">
        <f>SUM(G643)</f>
        <v>1591.1</v>
      </c>
    </row>
    <row r="643" spans="1:7" s="96" customFormat="1" ht="33.75" customHeight="1" x14ac:dyDescent="0.25">
      <c r="A643" s="30" t="s">
        <v>52</v>
      </c>
      <c r="B643" s="13" t="s">
        <v>53</v>
      </c>
      <c r="C643" s="13" t="s">
        <v>58</v>
      </c>
      <c r="D643" s="13" t="s">
        <v>0</v>
      </c>
      <c r="E643" s="13"/>
      <c r="F643" s="14"/>
      <c r="G643" s="15">
        <f>SUM(G644+G646+G648)</f>
        <v>1591.1</v>
      </c>
    </row>
    <row r="644" spans="1:7" s="96" customFormat="1" x14ac:dyDescent="0.25">
      <c r="A644" s="30" t="s">
        <v>403</v>
      </c>
      <c r="B644" s="13" t="s">
        <v>53</v>
      </c>
      <c r="C644" s="13" t="s">
        <v>58</v>
      </c>
      <c r="D644" s="13" t="s">
        <v>0</v>
      </c>
      <c r="E644" s="13" t="s">
        <v>263</v>
      </c>
      <c r="F644" s="14"/>
      <c r="G644" s="15">
        <f>G645</f>
        <v>0</v>
      </c>
    </row>
    <row r="645" spans="1:7" s="96" customFormat="1" ht="31.2" x14ac:dyDescent="0.25">
      <c r="A645" s="29" t="s">
        <v>115</v>
      </c>
      <c r="B645" s="13" t="s">
        <v>53</v>
      </c>
      <c r="C645" s="13" t="s">
        <v>58</v>
      </c>
      <c r="D645" s="13" t="s">
        <v>0</v>
      </c>
      <c r="E645" s="13" t="s">
        <v>263</v>
      </c>
      <c r="F645" s="14" t="s">
        <v>20</v>
      </c>
      <c r="G645" s="15"/>
    </row>
    <row r="646" spans="1:7" s="96" customFormat="1" ht="140.4" x14ac:dyDescent="0.25">
      <c r="A646" s="29" t="s">
        <v>568</v>
      </c>
      <c r="B646" s="13" t="s">
        <v>53</v>
      </c>
      <c r="C646" s="13" t="s">
        <v>58</v>
      </c>
      <c r="D646" s="13" t="s">
        <v>0</v>
      </c>
      <c r="E646" s="13" t="s">
        <v>227</v>
      </c>
      <c r="F646" s="14"/>
      <c r="G646" s="15">
        <f>SUM(G647:G647)</f>
        <v>1533.8</v>
      </c>
    </row>
    <row r="647" spans="1:7" s="96" customFormat="1" ht="31.2" x14ac:dyDescent="0.25">
      <c r="A647" s="30" t="s">
        <v>116</v>
      </c>
      <c r="B647" s="13" t="s">
        <v>53</v>
      </c>
      <c r="C647" s="13" t="s">
        <v>58</v>
      </c>
      <c r="D647" s="13" t="s">
        <v>0</v>
      </c>
      <c r="E647" s="13" t="s">
        <v>227</v>
      </c>
      <c r="F647" s="14" t="s">
        <v>111</v>
      </c>
      <c r="G647" s="15">
        <f>358.3+1232.8-57.3</f>
        <v>1533.8</v>
      </c>
    </row>
    <row r="648" spans="1:7" s="96" customFormat="1" ht="140.4" x14ac:dyDescent="0.25">
      <c r="A648" s="73" t="s">
        <v>656</v>
      </c>
      <c r="B648" s="46" t="s">
        <v>53</v>
      </c>
      <c r="C648" s="46" t="s">
        <v>58</v>
      </c>
      <c r="D648" s="46" t="s">
        <v>0</v>
      </c>
      <c r="E648" s="46" t="s">
        <v>655</v>
      </c>
      <c r="F648" s="72"/>
      <c r="G648" s="60">
        <f>G649</f>
        <v>57.3</v>
      </c>
    </row>
    <row r="649" spans="1:7" s="96" customFormat="1" ht="31.2" x14ac:dyDescent="0.25">
      <c r="A649" s="75" t="s">
        <v>116</v>
      </c>
      <c r="B649" s="46" t="s">
        <v>53</v>
      </c>
      <c r="C649" s="46" t="s">
        <v>58</v>
      </c>
      <c r="D649" s="46" t="s">
        <v>0</v>
      </c>
      <c r="E649" s="46" t="s">
        <v>655</v>
      </c>
      <c r="F649" s="72" t="s">
        <v>111</v>
      </c>
      <c r="G649" s="60">
        <f>57.3</f>
        <v>57.3</v>
      </c>
    </row>
    <row r="650" spans="1:7" s="96" customFormat="1" x14ac:dyDescent="0.25">
      <c r="A650" s="31" t="s">
        <v>404</v>
      </c>
      <c r="B650" s="13" t="s">
        <v>48</v>
      </c>
      <c r="C650" s="13"/>
      <c r="D650" s="13"/>
      <c r="E650" s="13"/>
      <c r="F650" s="13"/>
      <c r="G650" s="15">
        <f>SUM(G651+G655)</f>
        <v>15665.2</v>
      </c>
    </row>
    <row r="651" spans="1:7" s="96" customFormat="1" ht="50.25" customHeight="1" x14ac:dyDescent="0.25">
      <c r="A651" s="31" t="s">
        <v>439</v>
      </c>
      <c r="B651" s="13" t="s">
        <v>48</v>
      </c>
      <c r="C651" s="13" t="s">
        <v>58</v>
      </c>
      <c r="D651" s="13"/>
      <c r="E651" s="13"/>
      <c r="F651" s="13"/>
      <c r="G651" s="15">
        <f>SUM(G652)</f>
        <v>12475.2</v>
      </c>
    </row>
    <row r="652" spans="1:7" s="96" customFormat="1" ht="31.2" x14ac:dyDescent="0.25">
      <c r="A652" s="31" t="s">
        <v>405</v>
      </c>
      <c r="B652" s="13" t="s">
        <v>48</v>
      </c>
      <c r="C652" s="13" t="s">
        <v>58</v>
      </c>
      <c r="D652" s="13" t="s">
        <v>0</v>
      </c>
      <c r="E652" s="13"/>
      <c r="F652" s="13"/>
      <c r="G652" s="15">
        <f>SUM(G653)</f>
        <v>12475.2</v>
      </c>
    </row>
    <row r="653" spans="1:7" s="96" customFormat="1" ht="31.2" x14ac:dyDescent="0.25">
      <c r="A653" s="31" t="s">
        <v>406</v>
      </c>
      <c r="B653" s="13" t="s">
        <v>48</v>
      </c>
      <c r="C653" s="13" t="s">
        <v>58</v>
      </c>
      <c r="D653" s="13" t="s">
        <v>0</v>
      </c>
      <c r="E653" s="13" t="s">
        <v>49</v>
      </c>
      <c r="F653" s="14"/>
      <c r="G653" s="15">
        <f>SUM(G654:G654)</f>
        <v>12475.2</v>
      </c>
    </row>
    <row r="654" spans="1:7" s="96" customFormat="1" ht="31.2" x14ac:dyDescent="0.25">
      <c r="A654" s="30" t="s">
        <v>116</v>
      </c>
      <c r="B654" s="13" t="s">
        <v>48</v>
      </c>
      <c r="C654" s="13" t="s">
        <v>58</v>
      </c>
      <c r="D654" s="13" t="s">
        <v>0</v>
      </c>
      <c r="E654" s="13" t="s">
        <v>49</v>
      </c>
      <c r="F654" s="14" t="s">
        <v>111</v>
      </c>
      <c r="G654" s="15">
        <f>5573.1+5456.1-150-200+1796</f>
        <v>12475.2</v>
      </c>
    </row>
    <row r="655" spans="1:7" s="96" customFormat="1" ht="46.8" x14ac:dyDescent="0.25">
      <c r="A655" s="31" t="s">
        <v>440</v>
      </c>
      <c r="B655" s="13" t="s">
        <v>126</v>
      </c>
      <c r="C655" s="13" t="s">
        <v>93</v>
      </c>
      <c r="D655" s="13"/>
      <c r="E655" s="13"/>
      <c r="F655" s="14"/>
      <c r="G655" s="15">
        <f>G656</f>
        <v>3190</v>
      </c>
    </row>
    <row r="656" spans="1:7" s="96" customFormat="1" ht="34.950000000000003" customHeight="1" x14ac:dyDescent="0.25">
      <c r="A656" s="31" t="s">
        <v>128</v>
      </c>
      <c r="B656" s="13" t="s">
        <v>48</v>
      </c>
      <c r="C656" s="13" t="s">
        <v>93</v>
      </c>
      <c r="D656" s="13" t="s">
        <v>0</v>
      </c>
      <c r="E656" s="13"/>
      <c r="F656" s="14"/>
      <c r="G656" s="15">
        <f>G659+G664+G657</f>
        <v>3190</v>
      </c>
    </row>
    <row r="657" spans="1:7" s="96" customFormat="1" ht="34.950000000000003" customHeight="1" x14ac:dyDescent="0.25">
      <c r="A657" s="31" t="s">
        <v>650</v>
      </c>
      <c r="B657" s="13" t="s">
        <v>48</v>
      </c>
      <c r="C657" s="13" t="s">
        <v>93</v>
      </c>
      <c r="D657" s="13" t="s">
        <v>0</v>
      </c>
      <c r="E657" s="13" t="s">
        <v>281</v>
      </c>
      <c r="F657" s="14"/>
      <c r="G657" s="15">
        <f>G658</f>
        <v>808.1</v>
      </c>
    </row>
    <row r="658" spans="1:7" s="96" customFormat="1" ht="34.950000000000003" customHeight="1" x14ac:dyDescent="0.25">
      <c r="A658" s="29" t="s">
        <v>115</v>
      </c>
      <c r="B658" s="13" t="s">
        <v>48</v>
      </c>
      <c r="C658" s="13" t="s">
        <v>93</v>
      </c>
      <c r="D658" s="13" t="s">
        <v>0</v>
      </c>
      <c r="E658" s="13" t="s">
        <v>281</v>
      </c>
      <c r="F658" s="14" t="s">
        <v>20</v>
      </c>
      <c r="G658" s="15">
        <v>808.1</v>
      </c>
    </row>
    <row r="659" spans="1:7" s="96" customFormat="1" ht="31.2" x14ac:dyDescent="0.25">
      <c r="A659" s="31" t="s">
        <v>129</v>
      </c>
      <c r="B659" s="13" t="s">
        <v>48</v>
      </c>
      <c r="C659" s="13" t="s">
        <v>93</v>
      </c>
      <c r="D659" s="13" t="s">
        <v>0</v>
      </c>
      <c r="E659" s="13" t="s">
        <v>127</v>
      </c>
      <c r="F659" s="14"/>
      <c r="G659" s="15">
        <f>SUM(G660:G663)</f>
        <v>2313.5</v>
      </c>
    </row>
    <row r="660" spans="1:7" s="96" customFormat="1" ht="46.8" x14ac:dyDescent="0.25">
      <c r="A660" s="31" t="s">
        <v>114</v>
      </c>
      <c r="B660" s="13" t="s">
        <v>48</v>
      </c>
      <c r="C660" s="13" t="s">
        <v>93</v>
      </c>
      <c r="D660" s="13" t="s">
        <v>0</v>
      </c>
      <c r="E660" s="13" t="s">
        <v>127</v>
      </c>
      <c r="F660" s="14" t="s">
        <v>19</v>
      </c>
      <c r="G660" s="15">
        <v>750</v>
      </c>
    </row>
    <row r="661" spans="1:7" s="96" customFormat="1" ht="31.2" x14ac:dyDescent="0.25">
      <c r="A661" s="29" t="s">
        <v>115</v>
      </c>
      <c r="B661" s="13" t="s">
        <v>48</v>
      </c>
      <c r="C661" s="13" t="s">
        <v>93</v>
      </c>
      <c r="D661" s="13" t="s">
        <v>0</v>
      </c>
      <c r="E661" s="13" t="s">
        <v>127</v>
      </c>
      <c r="F661" s="14" t="s">
        <v>20</v>
      </c>
      <c r="G661" s="15">
        <f>1220+214.1+557.5+171.9-750+150</f>
        <v>1563.5</v>
      </c>
    </row>
    <row r="662" spans="1:7" s="96" customFormat="1" x14ac:dyDescent="0.25">
      <c r="A662" s="29" t="s">
        <v>117</v>
      </c>
      <c r="B662" s="13" t="s">
        <v>48</v>
      </c>
      <c r="C662" s="13" t="s">
        <v>93</v>
      </c>
      <c r="D662" s="13" t="s">
        <v>0</v>
      </c>
      <c r="E662" s="13" t="s">
        <v>127</v>
      </c>
      <c r="F662" s="14" t="s">
        <v>109</v>
      </c>
      <c r="G662" s="15">
        <f>750-750</f>
        <v>0</v>
      </c>
    </row>
    <row r="663" spans="1:7" s="96" customFormat="1" ht="31.2" x14ac:dyDescent="0.25">
      <c r="A663" s="30" t="s">
        <v>116</v>
      </c>
      <c r="B663" s="13" t="s">
        <v>48</v>
      </c>
      <c r="C663" s="13" t="s">
        <v>93</v>
      </c>
      <c r="D663" s="13" t="s">
        <v>0</v>
      </c>
      <c r="E663" s="13" t="s">
        <v>127</v>
      </c>
      <c r="F663" s="14" t="s">
        <v>111</v>
      </c>
      <c r="G663" s="15"/>
    </row>
    <row r="664" spans="1:7" s="96" customFormat="1" ht="31.2" x14ac:dyDescent="0.25">
      <c r="A664" s="29" t="s">
        <v>267</v>
      </c>
      <c r="B664" s="13" t="s">
        <v>48</v>
      </c>
      <c r="C664" s="13" t="s">
        <v>93</v>
      </c>
      <c r="D664" s="13" t="s">
        <v>0</v>
      </c>
      <c r="E664" s="13" t="s">
        <v>266</v>
      </c>
      <c r="F664" s="14"/>
      <c r="G664" s="15">
        <f>G665</f>
        <v>68.400000000000006</v>
      </c>
    </row>
    <row r="665" spans="1:7" s="96" customFormat="1" ht="31.2" x14ac:dyDescent="0.25">
      <c r="A665" s="29" t="s">
        <v>115</v>
      </c>
      <c r="B665" s="13" t="s">
        <v>48</v>
      </c>
      <c r="C665" s="13" t="s">
        <v>93</v>
      </c>
      <c r="D665" s="13" t="s">
        <v>0</v>
      </c>
      <c r="E665" s="13" t="s">
        <v>266</v>
      </c>
      <c r="F665" s="14" t="s">
        <v>20</v>
      </c>
      <c r="G665" s="15">
        <v>68.400000000000006</v>
      </c>
    </row>
    <row r="666" spans="1:7" s="96" customFormat="1" ht="31.2" x14ac:dyDescent="0.25">
      <c r="A666" s="31" t="s">
        <v>407</v>
      </c>
      <c r="B666" s="13" t="s">
        <v>68</v>
      </c>
      <c r="C666" s="13"/>
      <c r="D666" s="13"/>
      <c r="E666" s="13"/>
      <c r="F666" s="14"/>
      <c r="G666" s="15">
        <f>SUM(G667)</f>
        <v>59734</v>
      </c>
    </row>
    <row r="667" spans="1:7" s="96" customFormat="1" ht="31.2" x14ac:dyDescent="0.25">
      <c r="A667" s="31" t="s">
        <v>408</v>
      </c>
      <c r="B667" s="13" t="s">
        <v>68</v>
      </c>
      <c r="C667" s="13" t="s">
        <v>58</v>
      </c>
      <c r="D667" s="13"/>
      <c r="E667" s="13"/>
      <c r="F667" s="13"/>
      <c r="G667" s="15">
        <f>G668+G671+G674</f>
        <v>59734</v>
      </c>
    </row>
    <row r="668" spans="1:7" s="96" customFormat="1" ht="31.2" x14ac:dyDescent="0.25">
      <c r="A668" s="29" t="s">
        <v>167</v>
      </c>
      <c r="B668" s="13" t="s">
        <v>68</v>
      </c>
      <c r="C668" s="13" t="s">
        <v>58</v>
      </c>
      <c r="D668" s="13" t="s">
        <v>0</v>
      </c>
      <c r="E668" s="13"/>
      <c r="F668" s="13"/>
      <c r="G668" s="15">
        <f>SUM(G669)</f>
        <v>36494</v>
      </c>
    </row>
    <row r="669" spans="1:7" s="96" customFormat="1" ht="31.2" x14ac:dyDescent="0.25">
      <c r="A669" s="31" t="s">
        <v>409</v>
      </c>
      <c r="B669" s="13" t="s">
        <v>68</v>
      </c>
      <c r="C669" s="13" t="s">
        <v>58</v>
      </c>
      <c r="D669" s="13" t="s">
        <v>0</v>
      </c>
      <c r="E669" s="13" t="s">
        <v>69</v>
      </c>
      <c r="F669" s="13"/>
      <c r="G669" s="15">
        <f>SUM(G670:G670)</f>
        <v>36494</v>
      </c>
    </row>
    <row r="670" spans="1:7" s="96" customFormat="1" x14ac:dyDescent="0.25">
      <c r="A670" s="29" t="s">
        <v>117</v>
      </c>
      <c r="B670" s="13" t="s">
        <v>68</v>
      </c>
      <c r="C670" s="13" t="s">
        <v>58</v>
      </c>
      <c r="D670" s="13" t="s">
        <v>0</v>
      </c>
      <c r="E670" s="13" t="s">
        <v>69</v>
      </c>
      <c r="F670" s="13" t="s">
        <v>109</v>
      </c>
      <c r="G670" s="15">
        <f>18771.9+18435-2040+1327+0.1</f>
        <v>36494</v>
      </c>
    </row>
    <row r="671" spans="1:7" s="96" customFormat="1" ht="81.75" customHeight="1" x14ac:dyDescent="0.25">
      <c r="A671" s="29" t="s">
        <v>443</v>
      </c>
      <c r="B671" s="13" t="s">
        <v>68</v>
      </c>
      <c r="C671" s="13" t="s">
        <v>58</v>
      </c>
      <c r="D671" s="13" t="s">
        <v>1</v>
      </c>
      <c r="E671" s="13"/>
      <c r="F671" s="13"/>
      <c r="G671" s="15">
        <f>G672</f>
        <v>21200</v>
      </c>
    </row>
    <row r="672" spans="1:7" s="96" customFormat="1" ht="78" x14ac:dyDescent="0.25">
      <c r="A672" s="29" t="s">
        <v>410</v>
      </c>
      <c r="B672" s="13" t="s">
        <v>68</v>
      </c>
      <c r="C672" s="13" t="s">
        <v>58</v>
      </c>
      <c r="D672" s="13" t="s">
        <v>1</v>
      </c>
      <c r="E672" s="13" t="s">
        <v>361</v>
      </c>
      <c r="F672" s="13"/>
      <c r="G672" s="15">
        <f>G673</f>
        <v>21200</v>
      </c>
    </row>
    <row r="673" spans="1:7" s="96" customFormat="1" x14ac:dyDescent="0.25">
      <c r="A673" s="29" t="s">
        <v>117</v>
      </c>
      <c r="B673" s="13" t="s">
        <v>68</v>
      </c>
      <c r="C673" s="13" t="s">
        <v>58</v>
      </c>
      <c r="D673" s="13" t="s">
        <v>1</v>
      </c>
      <c r="E673" s="13" t="s">
        <v>361</v>
      </c>
      <c r="F673" s="13" t="s">
        <v>109</v>
      </c>
      <c r="G673" s="15">
        <f>3000+3400+800+400+4200+200+4600+200+600+3800</f>
        <v>21200</v>
      </c>
    </row>
    <row r="674" spans="1:7" s="96" customFormat="1" ht="31.2" x14ac:dyDescent="0.25">
      <c r="A674" s="29" t="s">
        <v>360</v>
      </c>
      <c r="B674" s="13" t="s">
        <v>68</v>
      </c>
      <c r="C674" s="13" t="s">
        <v>58</v>
      </c>
      <c r="D674" s="13" t="s">
        <v>2</v>
      </c>
      <c r="E674" s="13"/>
      <c r="F674" s="13"/>
      <c r="G674" s="15">
        <f>G675</f>
        <v>2040</v>
      </c>
    </row>
    <row r="675" spans="1:7" s="96" customFormat="1" ht="62.4" x14ac:dyDescent="0.25">
      <c r="A675" s="29" t="s">
        <v>411</v>
      </c>
      <c r="B675" s="13" t="s">
        <v>68</v>
      </c>
      <c r="C675" s="13" t="s">
        <v>58</v>
      </c>
      <c r="D675" s="13" t="s">
        <v>2</v>
      </c>
      <c r="E675" s="13" t="s">
        <v>359</v>
      </c>
      <c r="F675" s="13"/>
      <c r="G675" s="15">
        <f>G676</f>
        <v>2040</v>
      </c>
    </row>
    <row r="676" spans="1:7" s="96" customFormat="1" x14ac:dyDescent="0.25">
      <c r="A676" s="30" t="s">
        <v>117</v>
      </c>
      <c r="B676" s="13" t="s">
        <v>68</v>
      </c>
      <c r="C676" s="13" t="s">
        <v>58</v>
      </c>
      <c r="D676" s="13" t="s">
        <v>2</v>
      </c>
      <c r="E676" s="13" t="s">
        <v>359</v>
      </c>
      <c r="F676" s="13" t="s">
        <v>109</v>
      </c>
      <c r="G676" s="15">
        <v>2040</v>
      </c>
    </row>
    <row r="677" spans="1:7" s="96" customFormat="1" ht="31.2" x14ac:dyDescent="0.25">
      <c r="A677" s="29" t="s">
        <v>412</v>
      </c>
      <c r="B677" s="13" t="s">
        <v>122</v>
      </c>
      <c r="C677" s="13"/>
      <c r="D677" s="13"/>
      <c r="E677" s="13"/>
      <c r="F677" s="13"/>
      <c r="G677" s="15">
        <f>SUM(G678)</f>
        <v>38399.200000000004</v>
      </c>
    </row>
    <row r="678" spans="1:7" s="96" customFormat="1" ht="31.2" x14ac:dyDescent="0.25">
      <c r="A678" s="29" t="s">
        <v>415</v>
      </c>
      <c r="B678" s="13" t="s">
        <v>122</v>
      </c>
      <c r="C678" s="13" t="s">
        <v>58</v>
      </c>
      <c r="D678" s="13"/>
      <c r="E678" s="13"/>
      <c r="F678" s="13"/>
      <c r="G678" s="15">
        <f>SUM(G679+G691+G694+G702+G707)</f>
        <v>38399.200000000004</v>
      </c>
    </row>
    <row r="679" spans="1:7" s="96" customFormat="1" ht="46.8" x14ac:dyDescent="0.25">
      <c r="A679" s="29" t="s">
        <v>448</v>
      </c>
      <c r="B679" s="13" t="s">
        <v>122</v>
      </c>
      <c r="C679" s="13" t="s">
        <v>58</v>
      </c>
      <c r="D679" s="13" t="s">
        <v>0</v>
      </c>
      <c r="E679" s="13"/>
      <c r="F679" s="13"/>
      <c r="G679" s="15">
        <f>SUM(G680+G685+G689+G687)</f>
        <v>11053.6</v>
      </c>
    </row>
    <row r="680" spans="1:7" s="96" customFormat="1" x14ac:dyDescent="0.25">
      <c r="A680" s="31" t="s">
        <v>17</v>
      </c>
      <c r="B680" s="13" t="s">
        <v>122</v>
      </c>
      <c r="C680" s="13" t="s">
        <v>58</v>
      </c>
      <c r="D680" s="13" t="s">
        <v>0</v>
      </c>
      <c r="E680" s="13" t="s">
        <v>41</v>
      </c>
      <c r="F680" s="13"/>
      <c r="G680" s="15">
        <f>SUM(G681:G684)</f>
        <v>10625.1</v>
      </c>
    </row>
    <row r="681" spans="1:7" s="96" customFormat="1" ht="46.8" x14ac:dyDescent="0.25">
      <c r="A681" s="29" t="s">
        <v>114</v>
      </c>
      <c r="B681" s="13" t="s">
        <v>122</v>
      </c>
      <c r="C681" s="13" t="s">
        <v>58</v>
      </c>
      <c r="D681" s="13" t="s">
        <v>0</v>
      </c>
      <c r="E681" s="13" t="s">
        <v>41</v>
      </c>
      <c r="F681" s="13" t="s">
        <v>19</v>
      </c>
      <c r="G681" s="15">
        <f>10329.7-38.5</f>
        <v>10291.200000000001</v>
      </c>
    </row>
    <row r="682" spans="1:7" s="96" customFormat="1" ht="31.2" x14ac:dyDescent="0.25">
      <c r="A682" s="29" t="s">
        <v>115</v>
      </c>
      <c r="B682" s="13" t="s">
        <v>122</v>
      </c>
      <c r="C682" s="13" t="s">
        <v>58</v>
      </c>
      <c r="D682" s="13" t="s">
        <v>0</v>
      </c>
      <c r="E682" s="13" t="s">
        <v>41</v>
      </c>
      <c r="F682" s="13" t="s">
        <v>20</v>
      </c>
      <c r="G682" s="15">
        <f>1123+2.3+38.5-837.8-0.1</f>
        <v>325.89999999999998</v>
      </c>
    </row>
    <row r="683" spans="1:7" s="96" customFormat="1" x14ac:dyDescent="0.25">
      <c r="A683" s="29" t="s">
        <v>117</v>
      </c>
      <c r="B683" s="13" t="s">
        <v>122</v>
      </c>
      <c r="C683" s="13" t="s">
        <v>58</v>
      </c>
      <c r="D683" s="13" t="s">
        <v>0</v>
      </c>
      <c r="E683" s="13" t="s">
        <v>41</v>
      </c>
      <c r="F683" s="13" t="s">
        <v>109</v>
      </c>
      <c r="G683" s="15"/>
    </row>
    <row r="684" spans="1:7" s="96" customFormat="1" x14ac:dyDescent="0.25">
      <c r="A684" s="29" t="s">
        <v>21</v>
      </c>
      <c r="B684" s="13" t="s">
        <v>122</v>
      </c>
      <c r="C684" s="13" t="s">
        <v>58</v>
      </c>
      <c r="D684" s="13" t="s">
        <v>0</v>
      </c>
      <c r="E684" s="13" t="s">
        <v>41</v>
      </c>
      <c r="F684" s="13" t="s">
        <v>22</v>
      </c>
      <c r="G684" s="15">
        <v>8</v>
      </c>
    </row>
    <row r="685" spans="1:7" s="96" customFormat="1" x14ac:dyDescent="0.25">
      <c r="A685" s="29" t="s">
        <v>228</v>
      </c>
      <c r="B685" s="13" t="s">
        <v>122</v>
      </c>
      <c r="C685" s="25">
        <v>1</v>
      </c>
      <c r="D685" s="13" t="s">
        <v>0</v>
      </c>
      <c r="E685" s="13" t="s">
        <v>229</v>
      </c>
      <c r="F685" s="13"/>
      <c r="G685" s="15">
        <f>SUM(G686)</f>
        <v>26.7</v>
      </c>
    </row>
    <row r="686" spans="1:7" s="96" customFormat="1" ht="31.2" x14ac:dyDescent="0.25">
      <c r="A686" s="29" t="s">
        <v>115</v>
      </c>
      <c r="B686" s="13" t="s">
        <v>122</v>
      </c>
      <c r="C686" s="25">
        <v>1</v>
      </c>
      <c r="D686" s="13" t="s">
        <v>0</v>
      </c>
      <c r="E686" s="13" t="s">
        <v>229</v>
      </c>
      <c r="F686" s="13" t="s">
        <v>20</v>
      </c>
      <c r="G686" s="15">
        <v>26.7</v>
      </c>
    </row>
    <row r="687" spans="1:7" s="96" customFormat="1" x14ac:dyDescent="0.25">
      <c r="A687" s="29" t="s">
        <v>234</v>
      </c>
      <c r="B687" s="13" t="s">
        <v>122</v>
      </c>
      <c r="C687" s="13" t="s">
        <v>58</v>
      </c>
      <c r="D687" s="13" t="s">
        <v>0</v>
      </c>
      <c r="E687" s="13" t="s">
        <v>235</v>
      </c>
      <c r="F687" s="14"/>
      <c r="G687" s="15">
        <f>SUM(G688)</f>
        <v>71.8</v>
      </c>
    </row>
    <row r="688" spans="1:7" s="96" customFormat="1" ht="31.2" x14ac:dyDescent="0.25">
      <c r="A688" s="29" t="s">
        <v>115</v>
      </c>
      <c r="B688" s="13" t="s">
        <v>122</v>
      </c>
      <c r="C688" s="13" t="s">
        <v>58</v>
      </c>
      <c r="D688" s="13" t="s">
        <v>0</v>
      </c>
      <c r="E688" s="13" t="s">
        <v>235</v>
      </c>
      <c r="F688" s="14" t="s">
        <v>20</v>
      </c>
      <c r="G688" s="15">
        <v>71.8</v>
      </c>
    </row>
    <row r="689" spans="1:7" s="96" customFormat="1" ht="31.2" x14ac:dyDescent="0.25">
      <c r="A689" s="29" t="s">
        <v>230</v>
      </c>
      <c r="B689" s="13" t="s">
        <v>122</v>
      </c>
      <c r="C689" s="25">
        <v>1</v>
      </c>
      <c r="D689" s="13" t="s">
        <v>0</v>
      </c>
      <c r="E689" s="13" t="s">
        <v>231</v>
      </c>
      <c r="F689" s="13"/>
      <c r="G689" s="15">
        <f>SUM(G690)</f>
        <v>330</v>
      </c>
    </row>
    <row r="690" spans="1:7" s="96" customFormat="1" ht="31.2" x14ac:dyDescent="0.25">
      <c r="A690" s="29" t="s">
        <v>115</v>
      </c>
      <c r="B690" s="13" t="s">
        <v>122</v>
      </c>
      <c r="C690" s="25">
        <v>1</v>
      </c>
      <c r="D690" s="13" t="s">
        <v>0</v>
      </c>
      <c r="E690" s="13" t="s">
        <v>231</v>
      </c>
      <c r="F690" s="13" t="s">
        <v>20</v>
      </c>
      <c r="G690" s="15">
        <v>330</v>
      </c>
    </row>
    <row r="691" spans="1:7" s="96" customFormat="1" ht="46.8" x14ac:dyDescent="0.25">
      <c r="A691" s="29" t="s">
        <v>444</v>
      </c>
      <c r="B691" s="13" t="s">
        <v>122</v>
      </c>
      <c r="C691" s="13" t="s">
        <v>58</v>
      </c>
      <c r="D691" s="13" t="s">
        <v>1</v>
      </c>
      <c r="E691" s="13"/>
      <c r="F691" s="13"/>
      <c r="G691" s="15">
        <f>G692</f>
        <v>6059.9</v>
      </c>
    </row>
    <row r="692" spans="1:7" s="96" customFormat="1" ht="46.8" x14ac:dyDescent="0.25">
      <c r="A692" s="29" t="s">
        <v>28</v>
      </c>
      <c r="B692" s="13" t="s">
        <v>122</v>
      </c>
      <c r="C692" s="13" t="s">
        <v>58</v>
      </c>
      <c r="D692" s="13" t="s">
        <v>1</v>
      </c>
      <c r="E692" s="13" t="s">
        <v>51</v>
      </c>
      <c r="F692" s="13"/>
      <c r="G692" s="15">
        <f>G693</f>
        <v>6059.9</v>
      </c>
    </row>
    <row r="693" spans="1:7" s="96" customFormat="1" ht="31.2" x14ac:dyDescent="0.25">
      <c r="A693" s="30" t="s">
        <v>116</v>
      </c>
      <c r="B693" s="13" t="s">
        <v>122</v>
      </c>
      <c r="C693" s="13" t="s">
        <v>58</v>
      </c>
      <c r="D693" s="13" t="s">
        <v>1</v>
      </c>
      <c r="E693" s="13" t="s">
        <v>51</v>
      </c>
      <c r="F693" s="13" t="s">
        <v>111</v>
      </c>
      <c r="G693" s="15">
        <v>6059.9</v>
      </c>
    </row>
    <row r="694" spans="1:7" s="96" customFormat="1" ht="36.75" customHeight="1" x14ac:dyDescent="0.25">
      <c r="A694" s="29" t="s">
        <v>556</v>
      </c>
      <c r="B694" s="13" t="s">
        <v>122</v>
      </c>
      <c r="C694" s="13" t="s">
        <v>58</v>
      </c>
      <c r="D694" s="13" t="s">
        <v>2</v>
      </c>
      <c r="E694" s="13"/>
      <c r="F694" s="13"/>
      <c r="G694" s="15">
        <f>G695+G6727+G697+G699</f>
        <v>20376.900000000001</v>
      </c>
    </row>
    <row r="695" spans="1:7" s="96" customFormat="1" ht="46.8" x14ac:dyDescent="0.25">
      <c r="A695" s="29" t="s">
        <v>569</v>
      </c>
      <c r="B695" s="13" t="s">
        <v>122</v>
      </c>
      <c r="C695" s="13" t="s">
        <v>58</v>
      </c>
      <c r="D695" s="13" t="s">
        <v>2</v>
      </c>
      <c r="E695" s="13" t="s">
        <v>138</v>
      </c>
      <c r="F695" s="13"/>
      <c r="G695" s="15">
        <f>G696</f>
        <v>1432.8</v>
      </c>
    </row>
    <row r="696" spans="1:7" s="96" customFormat="1" ht="31.2" x14ac:dyDescent="0.25">
      <c r="A696" s="29" t="s">
        <v>115</v>
      </c>
      <c r="B696" s="13" t="s">
        <v>122</v>
      </c>
      <c r="C696" s="13" t="s">
        <v>58</v>
      </c>
      <c r="D696" s="13" t="s">
        <v>2</v>
      </c>
      <c r="E696" s="13" t="s">
        <v>138</v>
      </c>
      <c r="F696" s="13" t="s">
        <v>20</v>
      </c>
      <c r="G696" s="15">
        <f>595+837.8</f>
        <v>1432.8</v>
      </c>
    </row>
    <row r="697" spans="1:7" s="96" customFormat="1" ht="78" x14ac:dyDescent="0.25">
      <c r="A697" s="29" t="s">
        <v>631</v>
      </c>
      <c r="B697" s="13" t="s">
        <v>122</v>
      </c>
      <c r="C697" s="13" t="s">
        <v>58</v>
      </c>
      <c r="D697" s="13" t="s">
        <v>2</v>
      </c>
      <c r="E697" s="13" t="s">
        <v>630</v>
      </c>
      <c r="F697" s="13"/>
      <c r="G697" s="15">
        <f>G698</f>
        <v>48.1</v>
      </c>
    </row>
    <row r="698" spans="1:7" s="96" customFormat="1" ht="31.2" x14ac:dyDescent="0.25">
      <c r="A698" s="29" t="s">
        <v>115</v>
      </c>
      <c r="B698" s="13" t="s">
        <v>122</v>
      </c>
      <c r="C698" s="13" t="s">
        <v>58</v>
      </c>
      <c r="D698" s="13" t="s">
        <v>2</v>
      </c>
      <c r="E698" s="13" t="s">
        <v>630</v>
      </c>
      <c r="F698" s="13" t="s">
        <v>20</v>
      </c>
      <c r="G698" s="15">
        <f>48.1</f>
        <v>48.1</v>
      </c>
    </row>
    <row r="699" spans="1:7" s="96" customFormat="1" ht="78" x14ac:dyDescent="0.25">
      <c r="A699" s="29" t="s">
        <v>485</v>
      </c>
      <c r="B699" s="13" t="s">
        <v>122</v>
      </c>
      <c r="C699" s="13" t="s">
        <v>58</v>
      </c>
      <c r="D699" s="13" t="s">
        <v>2</v>
      </c>
      <c r="E699" s="13" t="s">
        <v>484</v>
      </c>
      <c r="F699" s="13"/>
      <c r="G699" s="15">
        <f>G701+G700</f>
        <v>18896</v>
      </c>
    </row>
    <row r="700" spans="1:7" s="96" customFormat="1" ht="31.2" x14ac:dyDescent="0.25">
      <c r="A700" s="29" t="s">
        <v>115</v>
      </c>
      <c r="B700" s="13" t="s">
        <v>122</v>
      </c>
      <c r="C700" s="13" t="s">
        <v>58</v>
      </c>
      <c r="D700" s="13" t="s">
        <v>2</v>
      </c>
      <c r="E700" s="13" t="s">
        <v>484</v>
      </c>
      <c r="F700" s="13" t="s">
        <v>20</v>
      </c>
      <c r="G700" s="15">
        <f>13263.9+846.7+4785.4</f>
        <v>18896</v>
      </c>
    </row>
    <row r="701" spans="1:7" s="96" customFormat="1" ht="31.2" x14ac:dyDescent="0.25">
      <c r="A701" s="30" t="s">
        <v>116</v>
      </c>
      <c r="B701" s="13" t="s">
        <v>122</v>
      </c>
      <c r="C701" s="13" t="s">
        <v>58</v>
      </c>
      <c r="D701" s="13" t="s">
        <v>2</v>
      </c>
      <c r="E701" s="13" t="s">
        <v>484</v>
      </c>
      <c r="F701" s="13" t="s">
        <v>111</v>
      </c>
      <c r="G701" s="15">
        <f>4785.4-4785.4</f>
        <v>0</v>
      </c>
    </row>
    <row r="702" spans="1:7" s="96" customFormat="1" ht="31.2" x14ac:dyDescent="0.25">
      <c r="A702" s="29" t="s">
        <v>171</v>
      </c>
      <c r="B702" s="13" t="s">
        <v>122</v>
      </c>
      <c r="C702" s="13" t="s">
        <v>58</v>
      </c>
      <c r="D702" s="13" t="s">
        <v>3</v>
      </c>
      <c r="E702" s="13"/>
      <c r="F702" s="13"/>
      <c r="G702" s="15">
        <f>G703</f>
        <v>908.8</v>
      </c>
    </row>
    <row r="703" spans="1:7" s="96" customFormat="1" ht="31.2" x14ac:dyDescent="0.25">
      <c r="A703" s="29" t="s">
        <v>170</v>
      </c>
      <c r="B703" s="13" t="s">
        <v>122</v>
      </c>
      <c r="C703" s="13" t="s">
        <v>58</v>
      </c>
      <c r="D703" s="13" t="s">
        <v>3</v>
      </c>
      <c r="E703" s="13" t="s">
        <v>169</v>
      </c>
      <c r="F703" s="13"/>
      <c r="G703" s="15">
        <f>G704+G705+G706</f>
        <v>908.8</v>
      </c>
    </row>
    <row r="704" spans="1:7" s="96" customFormat="1" ht="46.8" x14ac:dyDescent="0.25">
      <c r="A704" s="29" t="s">
        <v>114</v>
      </c>
      <c r="B704" s="13" t="s">
        <v>122</v>
      </c>
      <c r="C704" s="13" t="s">
        <v>58</v>
      </c>
      <c r="D704" s="13" t="s">
        <v>3</v>
      </c>
      <c r="E704" s="13" t="s">
        <v>169</v>
      </c>
      <c r="F704" s="13" t="s">
        <v>19</v>
      </c>
      <c r="G704" s="15"/>
    </row>
    <row r="705" spans="1:7" s="96" customFormat="1" ht="31.2" x14ac:dyDescent="0.25">
      <c r="A705" s="29" t="s">
        <v>115</v>
      </c>
      <c r="B705" s="13" t="s">
        <v>122</v>
      </c>
      <c r="C705" s="13" t="s">
        <v>58</v>
      </c>
      <c r="D705" s="13" t="s">
        <v>3</v>
      </c>
      <c r="E705" s="13" t="s">
        <v>169</v>
      </c>
      <c r="F705" s="13" t="s">
        <v>20</v>
      </c>
      <c r="G705" s="15">
        <f>1359-894.8+53.8</f>
        <v>518</v>
      </c>
    </row>
    <row r="706" spans="1:7" s="96" customFormat="1" x14ac:dyDescent="0.25">
      <c r="A706" s="29" t="s">
        <v>21</v>
      </c>
      <c r="B706" s="13" t="s">
        <v>122</v>
      </c>
      <c r="C706" s="13" t="s">
        <v>58</v>
      </c>
      <c r="D706" s="13" t="s">
        <v>3</v>
      </c>
      <c r="E706" s="13" t="s">
        <v>169</v>
      </c>
      <c r="F706" s="13" t="s">
        <v>22</v>
      </c>
      <c r="G706" s="15">
        <v>390.8</v>
      </c>
    </row>
    <row r="707" spans="1:7" s="96" customFormat="1" ht="46.8" x14ac:dyDescent="0.25">
      <c r="A707" s="29" t="s">
        <v>455</v>
      </c>
      <c r="B707" s="13" t="s">
        <v>122</v>
      </c>
      <c r="C707" s="13" t="s">
        <v>58</v>
      </c>
      <c r="D707" s="13" t="s">
        <v>4</v>
      </c>
      <c r="E707" s="13"/>
      <c r="F707" s="13"/>
      <c r="G707" s="15">
        <f>G708</f>
        <v>0</v>
      </c>
    </row>
    <row r="708" spans="1:7" s="96" customFormat="1" ht="18.75" customHeight="1" x14ac:dyDescent="0.25">
      <c r="A708" s="29" t="s">
        <v>234</v>
      </c>
      <c r="B708" s="13" t="s">
        <v>122</v>
      </c>
      <c r="C708" s="13" t="s">
        <v>58</v>
      </c>
      <c r="D708" s="13" t="s">
        <v>4</v>
      </c>
      <c r="E708" s="13" t="s">
        <v>235</v>
      </c>
      <c r="F708" s="13"/>
      <c r="G708" s="15">
        <f>SUM(G709+G710)</f>
        <v>0</v>
      </c>
    </row>
    <row r="709" spans="1:7" s="96" customFormat="1" ht="30.6" customHeight="1" x14ac:dyDescent="0.25">
      <c r="A709" s="29" t="s">
        <v>114</v>
      </c>
      <c r="B709" s="13" t="s">
        <v>122</v>
      </c>
      <c r="C709" s="13" t="s">
        <v>58</v>
      </c>
      <c r="D709" s="13" t="s">
        <v>4</v>
      </c>
      <c r="E709" s="13" t="s">
        <v>235</v>
      </c>
      <c r="F709" s="13" t="s">
        <v>19</v>
      </c>
      <c r="G709" s="15"/>
    </row>
    <row r="710" spans="1:7" s="96" customFormat="1" ht="31.2" x14ac:dyDescent="0.25">
      <c r="A710" s="29" t="s">
        <v>115</v>
      </c>
      <c r="B710" s="13" t="s">
        <v>122</v>
      </c>
      <c r="C710" s="13" t="s">
        <v>58</v>
      </c>
      <c r="D710" s="13" t="s">
        <v>4</v>
      </c>
      <c r="E710" s="13" t="s">
        <v>235</v>
      </c>
      <c r="F710" s="13" t="s">
        <v>20</v>
      </c>
      <c r="G710" s="15"/>
    </row>
    <row r="711" spans="1:7" s="96" customFormat="1" ht="46.8" x14ac:dyDescent="0.25">
      <c r="A711" s="31" t="s">
        <v>447</v>
      </c>
      <c r="B711" s="13" t="s">
        <v>103</v>
      </c>
      <c r="C711" s="13"/>
      <c r="D711" s="13"/>
      <c r="E711" s="13"/>
      <c r="F711" s="13"/>
      <c r="G711" s="15">
        <f>SUM(G712)</f>
        <v>4066.6</v>
      </c>
    </row>
    <row r="712" spans="1:7" s="96" customFormat="1" ht="31.2" x14ac:dyDescent="0.25">
      <c r="A712" s="31" t="s">
        <v>446</v>
      </c>
      <c r="B712" s="13" t="s">
        <v>103</v>
      </c>
      <c r="C712" s="13" t="s">
        <v>58</v>
      </c>
      <c r="D712" s="13"/>
      <c r="E712" s="13"/>
      <c r="F712" s="13"/>
      <c r="G712" s="15">
        <f>SUM(G713)</f>
        <v>4066.6</v>
      </c>
    </row>
    <row r="713" spans="1:7" s="96" customFormat="1" x14ac:dyDescent="0.25">
      <c r="A713" s="31" t="s">
        <v>17</v>
      </c>
      <c r="B713" s="13" t="s">
        <v>103</v>
      </c>
      <c r="C713" s="13" t="s">
        <v>58</v>
      </c>
      <c r="D713" s="13" t="s">
        <v>39</v>
      </c>
      <c r="E713" s="13" t="s">
        <v>41</v>
      </c>
      <c r="F713" s="13"/>
      <c r="G713" s="15">
        <f>SUM(G714:G714)</f>
        <v>4066.6</v>
      </c>
    </row>
    <row r="714" spans="1:7" s="96" customFormat="1" ht="46.8" x14ac:dyDescent="0.25">
      <c r="A714" s="29" t="s">
        <v>114</v>
      </c>
      <c r="B714" s="13" t="s">
        <v>103</v>
      </c>
      <c r="C714" s="13" t="s">
        <v>58</v>
      </c>
      <c r="D714" s="13" t="s">
        <v>39</v>
      </c>
      <c r="E714" s="13" t="s">
        <v>41</v>
      </c>
      <c r="F714" s="13" t="s">
        <v>19</v>
      </c>
      <c r="G714" s="15">
        <v>4066.6</v>
      </c>
    </row>
    <row r="715" spans="1:7" s="96" customFormat="1" ht="28.2" customHeight="1" x14ac:dyDescent="0.25">
      <c r="A715" s="31" t="s">
        <v>27</v>
      </c>
      <c r="B715" s="13" t="s">
        <v>104</v>
      </c>
      <c r="C715" s="13"/>
      <c r="D715" s="13"/>
      <c r="E715" s="13"/>
      <c r="F715" s="13"/>
      <c r="G715" s="15">
        <f>G716+G722</f>
        <v>1864.3</v>
      </c>
    </row>
    <row r="716" spans="1:7" s="96" customFormat="1" ht="18" customHeight="1" x14ac:dyDescent="0.25">
      <c r="A716" s="31" t="s">
        <v>42</v>
      </c>
      <c r="B716" s="13" t="s">
        <v>104</v>
      </c>
      <c r="C716" s="13" t="s">
        <v>58</v>
      </c>
      <c r="D716" s="13"/>
      <c r="E716" s="13"/>
      <c r="F716" s="13"/>
      <c r="G716" s="15">
        <f>SUM(G717+G720)</f>
        <v>1864.3</v>
      </c>
    </row>
    <row r="717" spans="1:7" s="96" customFormat="1" ht="22.2" customHeight="1" x14ac:dyDescent="0.25">
      <c r="A717" s="31" t="s">
        <v>17</v>
      </c>
      <c r="B717" s="13" t="s">
        <v>104</v>
      </c>
      <c r="C717" s="13" t="s">
        <v>58</v>
      </c>
      <c r="D717" s="13" t="s">
        <v>39</v>
      </c>
      <c r="E717" s="13" t="s">
        <v>41</v>
      </c>
      <c r="F717" s="13"/>
      <c r="G717" s="15">
        <f>SUM(G718:G719)</f>
        <v>1864.3</v>
      </c>
    </row>
    <row r="718" spans="1:7" s="96" customFormat="1" ht="46.8" x14ac:dyDescent="0.25">
      <c r="A718" s="29" t="s">
        <v>114</v>
      </c>
      <c r="B718" s="13" t="s">
        <v>104</v>
      </c>
      <c r="C718" s="13" t="s">
        <v>58</v>
      </c>
      <c r="D718" s="13" t="s">
        <v>39</v>
      </c>
      <c r="E718" s="13" t="s">
        <v>41</v>
      </c>
      <c r="F718" s="13" t="s">
        <v>19</v>
      </c>
      <c r="G718" s="15">
        <v>1800</v>
      </c>
    </row>
    <row r="719" spans="1:7" s="96" customFormat="1" ht="31.2" x14ac:dyDescent="0.25">
      <c r="A719" s="29" t="s">
        <v>115</v>
      </c>
      <c r="B719" s="13" t="s">
        <v>104</v>
      </c>
      <c r="C719" s="13" t="s">
        <v>58</v>
      </c>
      <c r="D719" s="13" t="s">
        <v>39</v>
      </c>
      <c r="E719" s="13" t="s">
        <v>41</v>
      </c>
      <c r="F719" s="13" t="s">
        <v>20</v>
      </c>
      <c r="G719" s="15">
        <v>64.3</v>
      </c>
    </row>
    <row r="720" spans="1:7" s="96" customFormat="1" ht="62.4" x14ac:dyDescent="0.25">
      <c r="A720" s="29" t="s">
        <v>357</v>
      </c>
      <c r="B720" s="13">
        <v>51</v>
      </c>
      <c r="C720" s="25">
        <v>1</v>
      </c>
      <c r="D720" s="13" t="s">
        <v>39</v>
      </c>
      <c r="E720" s="13" t="s">
        <v>358</v>
      </c>
      <c r="F720" s="13"/>
      <c r="G720" s="15">
        <f>G721</f>
        <v>0</v>
      </c>
    </row>
    <row r="721" spans="1:11" s="96" customFormat="1" ht="31.2" x14ac:dyDescent="0.25">
      <c r="A721" s="29" t="s">
        <v>115</v>
      </c>
      <c r="B721" s="13">
        <v>51</v>
      </c>
      <c r="C721" s="25">
        <v>1</v>
      </c>
      <c r="D721" s="13" t="s">
        <v>39</v>
      </c>
      <c r="E721" s="13" t="s">
        <v>358</v>
      </c>
      <c r="F721" s="13" t="s">
        <v>20</v>
      </c>
      <c r="G721" s="15"/>
    </row>
    <row r="722" spans="1:11" s="96" customFormat="1" ht="31.2" customHeight="1" x14ac:dyDescent="0.25">
      <c r="A722" s="29" t="s">
        <v>416</v>
      </c>
      <c r="B722" s="13" t="s">
        <v>104</v>
      </c>
      <c r="C722" s="13" t="s">
        <v>93</v>
      </c>
      <c r="D722" s="13"/>
      <c r="E722" s="13"/>
      <c r="F722" s="13"/>
      <c r="G722" s="15">
        <f>G723</f>
        <v>0</v>
      </c>
    </row>
    <row r="723" spans="1:11" s="96" customFormat="1" ht="46.8" x14ac:dyDescent="0.25">
      <c r="A723" s="29" t="s">
        <v>417</v>
      </c>
      <c r="B723" s="13" t="s">
        <v>104</v>
      </c>
      <c r="C723" s="13" t="s">
        <v>93</v>
      </c>
      <c r="D723" s="13" t="s">
        <v>39</v>
      </c>
      <c r="E723" s="13" t="s">
        <v>348</v>
      </c>
      <c r="F723" s="13"/>
      <c r="G723" s="15">
        <f>G724</f>
        <v>0</v>
      </c>
    </row>
    <row r="724" spans="1:11" s="96" customFormat="1" x14ac:dyDescent="0.25">
      <c r="A724" s="29" t="s">
        <v>21</v>
      </c>
      <c r="B724" s="13" t="s">
        <v>104</v>
      </c>
      <c r="C724" s="13" t="s">
        <v>93</v>
      </c>
      <c r="D724" s="13" t="s">
        <v>39</v>
      </c>
      <c r="E724" s="13" t="s">
        <v>348</v>
      </c>
      <c r="F724" s="13" t="s">
        <v>22</v>
      </c>
      <c r="G724" s="15"/>
    </row>
    <row r="725" spans="1:11" s="96" customFormat="1" x14ac:dyDescent="0.25">
      <c r="A725" s="29" t="s">
        <v>29</v>
      </c>
      <c r="B725" s="13" t="s">
        <v>44</v>
      </c>
      <c r="C725" s="13"/>
      <c r="D725" s="13"/>
      <c r="E725" s="13"/>
      <c r="F725" s="13"/>
      <c r="G725" s="15">
        <f>SUM(G726+G736+G754)</f>
        <v>260162.4</v>
      </c>
    </row>
    <row r="726" spans="1:11" s="96" customFormat="1" ht="31.2" x14ac:dyDescent="0.25">
      <c r="A726" s="31" t="s">
        <v>418</v>
      </c>
      <c r="B726" s="13" t="s">
        <v>44</v>
      </c>
      <c r="C726" s="13" t="s">
        <v>58</v>
      </c>
      <c r="D726" s="13"/>
      <c r="E726" s="13"/>
      <c r="F726" s="13"/>
      <c r="G726" s="15">
        <f>SUM(G727+G733)</f>
        <v>212759.3</v>
      </c>
    </row>
    <row r="727" spans="1:11" s="96" customFormat="1" x14ac:dyDescent="0.25">
      <c r="A727" s="31" t="s">
        <v>17</v>
      </c>
      <c r="B727" s="13" t="s">
        <v>44</v>
      </c>
      <c r="C727" s="13" t="s">
        <v>58</v>
      </c>
      <c r="D727" s="13" t="s">
        <v>39</v>
      </c>
      <c r="E727" s="13" t="s">
        <v>41</v>
      </c>
      <c r="F727" s="13"/>
      <c r="G727" s="15">
        <f>SUM(G728:G732)</f>
        <v>211167.9</v>
      </c>
    </row>
    <row r="728" spans="1:11" s="96" customFormat="1" ht="46.8" x14ac:dyDescent="0.25">
      <c r="A728" s="29" t="s">
        <v>114</v>
      </c>
      <c r="B728" s="13" t="s">
        <v>44</v>
      </c>
      <c r="C728" s="13" t="s">
        <v>58</v>
      </c>
      <c r="D728" s="13" t="s">
        <v>39</v>
      </c>
      <c r="E728" s="13" t="s">
        <v>41</v>
      </c>
      <c r="F728" s="13" t="s">
        <v>19</v>
      </c>
      <c r="G728" s="15">
        <f>191132.9+4897.4+8191.9+3976.2+1050.6-5.7</f>
        <v>209243.3</v>
      </c>
    </row>
    <row r="729" spans="1:11" s="96" customFormat="1" ht="31.2" x14ac:dyDescent="0.25">
      <c r="A729" s="29" t="s">
        <v>115</v>
      </c>
      <c r="B729" s="13" t="s">
        <v>44</v>
      </c>
      <c r="C729" s="13" t="s">
        <v>58</v>
      </c>
      <c r="D729" s="13" t="s">
        <v>39</v>
      </c>
      <c r="E729" s="13" t="s">
        <v>41</v>
      </c>
      <c r="F729" s="13" t="s">
        <v>20</v>
      </c>
      <c r="G729" s="15">
        <f>1829.1-67.2+0.1+39.4+8.9+7.5+7.8+3.8+19.3+2.2+16.2+9.1+24.1+7.9+1.9</f>
        <v>1910.1</v>
      </c>
    </row>
    <row r="730" spans="1:11" s="96" customFormat="1" x14ac:dyDescent="0.25">
      <c r="A730" s="29" t="s">
        <v>117</v>
      </c>
      <c r="B730" s="13" t="s">
        <v>44</v>
      </c>
      <c r="C730" s="13" t="s">
        <v>58</v>
      </c>
      <c r="D730" s="13" t="s">
        <v>39</v>
      </c>
      <c r="E730" s="13" t="s">
        <v>41</v>
      </c>
      <c r="F730" s="13" t="s">
        <v>109</v>
      </c>
      <c r="G730" s="15"/>
    </row>
    <row r="731" spans="1:11" s="96" customFormat="1" x14ac:dyDescent="0.25">
      <c r="A731" s="29" t="s">
        <v>9</v>
      </c>
      <c r="B731" s="13" t="s">
        <v>44</v>
      </c>
      <c r="C731" s="13" t="s">
        <v>58</v>
      </c>
      <c r="D731" s="13" t="s">
        <v>39</v>
      </c>
      <c r="E731" s="13" t="s">
        <v>41</v>
      </c>
      <c r="F731" s="13" t="s">
        <v>25</v>
      </c>
      <c r="G731" s="15"/>
    </row>
    <row r="732" spans="1:11" s="96" customFormat="1" x14ac:dyDescent="0.25">
      <c r="A732" s="29" t="s">
        <v>21</v>
      </c>
      <c r="B732" s="13" t="s">
        <v>44</v>
      </c>
      <c r="C732" s="13" t="s">
        <v>58</v>
      </c>
      <c r="D732" s="13" t="s">
        <v>39</v>
      </c>
      <c r="E732" s="13" t="s">
        <v>41</v>
      </c>
      <c r="F732" s="13" t="s">
        <v>22</v>
      </c>
      <c r="G732" s="15">
        <f>574-559.5</f>
        <v>14.5</v>
      </c>
    </row>
    <row r="733" spans="1:11" s="96" customFormat="1" ht="65.400000000000006" customHeight="1" x14ac:dyDescent="0.25">
      <c r="A733" s="29" t="s">
        <v>357</v>
      </c>
      <c r="B733" s="13">
        <v>52</v>
      </c>
      <c r="C733" s="25">
        <v>1</v>
      </c>
      <c r="D733" s="13" t="s">
        <v>39</v>
      </c>
      <c r="E733" s="13" t="s">
        <v>358</v>
      </c>
      <c r="F733" s="13"/>
      <c r="G733" s="15">
        <f>G734+G735</f>
        <v>1591.3999999999999</v>
      </c>
    </row>
    <row r="734" spans="1:11" s="96" customFormat="1" ht="31.2" x14ac:dyDescent="0.25">
      <c r="A734" s="29" t="s">
        <v>115</v>
      </c>
      <c r="B734" s="13">
        <v>52</v>
      </c>
      <c r="C734" s="25">
        <v>1</v>
      </c>
      <c r="D734" s="13" t="s">
        <v>39</v>
      </c>
      <c r="E734" s="13" t="s">
        <v>358</v>
      </c>
      <c r="F734" s="13" t="s">
        <v>20</v>
      </c>
      <c r="G734" s="15">
        <f>H731</f>
        <v>0</v>
      </c>
    </row>
    <row r="735" spans="1:11" s="96" customFormat="1" x14ac:dyDescent="0.25">
      <c r="A735" s="29" t="s">
        <v>117</v>
      </c>
      <c r="B735" s="13">
        <v>52</v>
      </c>
      <c r="C735" s="25">
        <v>1</v>
      </c>
      <c r="D735" s="13" t="s">
        <v>39</v>
      </c>
      <c r="E735" s="13" t="s">
        <v>358</v>
      </c>
      <c r="F735" s="13" t="s">
        <v>109</v>
      </c>
      <c r="G735" s="15">
        <f>6.1+1074.1+505.5+5.7</f>
        <v>1591.3999999999999</v>
      </c>
    </row>
    <row r="736" spans="1:11" x14ac:dyDescent="0.25">
      <c r="A736" s="31" t="s">
        <v>23</v>
      </c>
      <c r="B736" s="13" t="s">
        <v>44</v>
      </c>
      <c r="C736" s="13" t="s">
        <v>93</v>
      </c>
      <c r="D736" s="13"/>
      <c r="E736" s="13"/>
      <c r="F736" s="13"/>
      <c r="G736" s="15">
        <f>SUM(G739+G743+G745+G748+G751+G741+G737)</f>
        <v>14171</v>
      </c>
      <c r="K736" s="97"/>
    </row>
    <row r="737" spans="1:11" ht="46.8" x14ac:dyDescent="0.25">
      <c r="A737" s="31" t="s">
        <v>623</v>
      </c>
      <c r="B737" s="13" t="s">
        <v>44</v>
      </c>
      <c r="C737" s="13" t="s">
        <v>93</v>
      </c>
      <c r="D737" s="13" t="s">
        <v>39</v>
      </c>
      <c r="E737" s="13" t="s">
        <v>179</v>
      </c>
      <c r="F737" s="13"/>
      <c r="G737" s="15">
        <f>G738</f>
        <v>1675.2</v>
      </c>
      <c r="K737" s="97"/>
    </row>
    <row r="738" spans="1:11" ht="46.8" x14ac:dyDescent="0.25">
      <c r="A738" s="29" t="s">
        <v>114</v>
      </c>
      <c r="B738" s="13" t="s">
        <v>44</v>
      </c>
      <c r="C738" s="13" t="s">
        <v>93</v>
      </c>
      <c r="D738" s="13" t="s">
        <v>39</v>
      </c>
      <c r="E738" s="13" t="s">
        <v>179</v>
      </c>
      <c r="F738" s="13" t="s">
        <v>19</v>
      </c>
      <c r="G738" s="15">
        <v>1675.2</v>
      </c>
      <c r="K738" s="97"/>
    </row>
    <row r="739" spans="1:11" ht="46.8" x14ac:dyDescent="0.25">
      <c r="A739" s="30" t="s">
        <v>37</v>
      </c>
      <c r="B739" s="13" t="s">
        <v>44</v>
      </c>
      <c r="C739" s="13" t="s">
        <v>93</v>
      </c>
      <c r="D739" s="13" t="s">
        <v>39</v>
      </c>
      <c r="E739" s="13" t="s">
        <v>47</v>
      </c>
      <c r="F739" s="13"/>
      <c r="G739" s="15">
        <f>SUM(G740:G740)</f>
        <v>7.8</v>
      </c>
    </row>
    <row r="740" spans="1:11" ht="31.2" x14ac:dyDescent="0.25">
      <c r="A740" s="29" t="s">
        <v>115</v>
      </c>
      <c r="B740" s="13" t="s">
        <v>44</v>
      </c>
      <c r="C740" s="13" t="s">
        <v>93</v>
      </c>
      <c r="D740" s="13" t="s">
        <v>39</v>
      </c>
      <c r="E740" s="13" t="s">
        <v>47</v>
      </c>
      <c r="F740" s="13" t="s">
        <v>20</v>
      </c>
      <c r="G740" s="15">
        <v>7.8</v>
      </c>
    </row>
    <row r="741" spans="1:11" ht="31.2" x14ac:dyDescent="0.25">
      <c r="A741" s="29" t="s">
        <v>468</v>
      </c>
      <c r="B741" s="13" t="s">
        <v>44</v>
      </c>
      <c r="C741" s="13" t="s">
        <v>93</v>
      </c>
      <c r="D741" s="13" t="s">
        <v>39</v>
      </c>
      <c r="E741" s="13" t="s">
        <v>467</v>
      </c>
      <c r="F741" s="13"/>
      <c r="G741" s="15">
        <f>G742</f>
        <v>5028.8999999999996</v>
      </c>
    </row>
    <row r="742" spans="1:11" ht="46.8" x14ac:dyDescent="0.25">
      <c r="A742" s="29" t="s">
        <v>114</v>
      </c>
      <c r="B742" s="13" t="s">
        <v>44</v>
      </c>
      <c r="C742" s="13" t="s">
        <v>93</v>
      </c>
      <c r="D742" s="13" t="s">
        <v>39</v>
      </c>
      <c r="E742" s="13" t="s">
        <v>467</v>
      </c>
      <c r="F742" s="13" t="s">
        <v>19</v>
      </c>
      <c r="G742" s="15">
        <f>4635.9+393</f>
        <v>5028.8999999999996</v>
      </c>
    </row>
    <row r="743" spans="1:11" ht="31.2" x14ac:dyDescent="0.25">
      <c r="A743" s="30" t="s">
        <v>458</v>
      </c>
      <c r="B743" s="13" t="s">
        <v>44</v>
      </c>
      <c r="C743" s="13" t="s">
        <v>93</v>
      </c>
      <c r="D743" s="13" t="s">
        <v>39</v>
      </c>
      <c r="E743" s="13" t="s">
        <v>457</v>
      </c>
      <c r="F743" s="13"/>
      <c r="G743" s="15">
        <f>SUM(G744)</f>
        <v>500</v>
      </c>
    </row>
    <row r="744" spans="1:11" ht="31.2" x14ac:dyDescent="0.25">
      <c r="A744" s="29" t="s">
        <v>115</v>
      </c>
      <c r="B744" s="13" t="s">
        <v>44</v>
      </c>
      <c r="C744" s="13" t="s">
        <v>93</v>
      </c>
      <c r="D744" s="13" t="s">
        <v>39</v>
      </c>
      <c r="E744" s="13" t="s">
        <v>457</v>
      </c>
      <c r="F744" s="13" t="s">
        <v>20</v>
      </c>
      <c r="G744" s="15">
        <v>500</v>
      </c>
    </row>
    <row r="745" spans="1:11" ht="31.2" x14ac:dyDescent="0.25">
      <c r="A745" s="30" t="s">
        <v>199</v>
      </c>
      <c r="B745" s="13" t="s">
        <v>44</v>
      </c>
      <c r="C745" s="13" t="s">
        <v>93</v>
      </c>
      <c r="D745" s="13" t="s">
        <v>39</v>
      </c>
      <c r="E745" s="13" t="s">
        <v>46</v>
      </c>
      <c r="F745" s="13"/>
      <c r="G745" s="15">
        <f>SUM(G746:G747)</f>
        <v>930.4</v>
      </c>
    </row>
    <row r="746" spans="1:11" ht="46.8" x14ac:dyDescent="0.25">
      <c r="A746" s="29" t="s">
        <v>114</v>
      </c>
      <c r="B746" s="13" t="s">
        <v>44</v>
      </c>
      <c r="C746" s="13" t="s">
        <v>93</v>
      </c>
      <c r="D746" s="13" t="s">
        <v>39</v>
      </c>
      <c r="E746" s="13" t="s">
        <v>46</v>
      </c>
      <c r="F746" s="13" t="s">
        <v>19</v>
      </c>
      <c r="G746" s="15">
        <v>849.4</v>
      </c>
    </row>
    <row r="747" spans="1:11" ht="31.2" x14ac:dyDescent="0.25">
      <c r="A747" s="29" t="s">
        <v>115</v>
      </c>
      <c r="B747" s="13" t="s">
        <v>44</v>
      </c>
      <c r="C747" s="13" t="s">
        <v>93</v>
      </c>
      <c r="D747" s="13" t="s">
        <v>39</v>
      </c>
      <c r="E747" s="13" t="s">
        <v>46</v>
      </c>
      <c r="F747" s="13" t="s">
        <v>20</v>
      </c>
      <c r="G747" s="15">
        <v>81</v>
      </c>
    </row>
    <row r="748" spans="1:11" ht="62.4" x14ac:dyDescent="0.25">
      <c r="A748" s="30" t="s">
        <v>461</v>
      </c>
      <c r="B748" s="13" t="s">
        <v>44</v>
      </c>
      <c r="C748" s="13" t="s">
        <v>93</v>
      </c>
      <c r="D748" s="13" t="s">
        <v>39</v>
      </c>
      <c r="E748" s="13" t="s">
        <v>274</v>
      </c>
      <c r="F748" s="13"/>
      <c r="G748" s="15">
        <f>SUM(G749:G750)</f>
        <v>933.5</v>
      </c>
    </row>
    <row r="749" spans="1:11" ht="46.8" x14ac:dyDescent="0.25">
      <c r="A749" s="29" t="s">
        <v>114</v>
      </c>
      <c r="B749" s="13" t="s">
        <v>44</v>
      </c>
      <c r="C749" s="13" t="s">
        <v>93</v>
      </c>
      <c r="D749" s="13" t="s">
        <v>39</v>
      </c>
      <c r="E749" s="13" t="s">
        <v>274</v>
      </c>
      <c r="F749" s="13" t="s">
        <v>19</v>
      </c>
      <c r="G749" s="15">
        <v>849.3</v>
      </c>
    </row>
    <row r="750" spans="1:11" ht="31.2" x14ac:dyDescent="0.25">
      <c r="A750" s="29" t="s">
        <v>115</v>
      </c>
      <c r="B750" s="13" t="s">
        <v>44</v>
      </c>
      <c r="C750" s="13" t="s">
        <v>93</v>
      </c>
      <c r="D750" s="13" t="s">
        <v>39</v>
      </c>
      <c r="E750" s="13" t="s">
        <v>274</v>
      </c>
      <c r="F750" s="13" t="s">
        <v>20</v>
      </c>
      <c r="G750" s="15">
        <v>84.2</v>
      </c>
    </row>
    <row r="751" spans="1:11" ht="46.8" x14ac:dyDescent="0.25">
      <c r="A751" s="29" t="s">
        <v>459</v>
      </c>
      <c r="B751" s="13" t="s">
        <v>44</v>
      </c>
      <c r="C751" s="13" t="s">
        <v>93</v>
      </c>
      <c r="D751" s="13" t="s">
        <v>39</v>
      </c>
      <c r="E751" s="13" t="s">
        <v>248</v>
      </c>
      <c r="F751" s="13"/>
      <c r="G751" s="15">
        <f>SUM(G752:G753)</f>
        <v>5095.2</v>
      </c>
    </row>
    <row r="752" spans="1:11" ht="52.2" customHeight="1" x14ac:dyDescent="0.25">
      <c r="A752" s="29" t="s">
        <v>114</v>
      </c>
      <c r="B752" s="13" t="s">
        <v>44</v>
      </c>
      <c r="C752" s="13" t="s">
        <v>93</v>
      </c>
      <c r="D752" s="13" t="s">
        <v>39</v>
      </c>
      <c r="E752" s="13" t="s">
        <v>248</v>
      </c>
      <c r="F752" s="13" t="s">
        <v>19</v>
      </c>
      <c r="G752" s="15">
        <f>4758.4+33</f>
        <v>4791.3999999999996</v>
      </c>
    </row>
    <row r="753" spans="1:10" ht="31.2" x14ac:dyDescent="0.25">
      <c r="A753" s="29" t="s">
        <v>115</v>
      </c>
      <c r="B753" s="13" t="s">
        <v>44</v>
      </c>
      <c r="C753" s="13" t="s">
        <v>93</v>
      </c>
      <c r="D753" s="13" t="s">
        <v>39</v>
      </c>
      <c r="E753" s="13" t="s">
        <v>248</v>
      </c>
      <c r="F753" s="13" t="s">
        <v>20</v>
      </c>
      <c r="G753" s="15">
        <f>336.8-33</f>
        <v>303.8</v>
      </c>
    </row>
    <row r="754" spans="1:10" x14ac:dyDescent="0.25">
      <c r="A754" s="29" t="s">
        <v>307</v>
      </c>
      <c r="B754" s="13" t="s">
        <v>44</v>
      </c>
      <c r="C754" s="13" t="s">
        <v>65</v>
      </c>
      <c r="D754" s="13"/>
      <c r="E754" s="13"/>
      <c r="F754" s="13"/>
      <c r="G754" s="15">
        <f>G755</f>
        <v>33232.1</v>
      </c>
    </row>
    <row r="755" spans="1:10" x14ac:dyDescent="0.25">
      <c r="A755" s="29" t="s">
        <v>307</v>
      </c>
      <c r="B755" s="13" t="s">
        <v>44</v>
      </c>
      <c r="C755" s="13" t="s">
        <v>65</v>
      </c>
      <c r="D755" s="13" t="s">
        <v>39</v>
      </c>
      <c r="E755" s="13" t="s">
        <v>308</v>
      </c>
      <c r="F755" s="13"/>
      <c r="G755" s="15">
        <f>G757+G756</f>
        <v>33232.1</v>
      </c>
    </row>
    <row r="756" spans="1:10" ht="31.2" x14ac:dyDescent="0.25">
      <c r="A756" s="29" t="s">
        <v>115</v>
      </c>
      <c r="B756" s="13" t="s">
        <v>44</v>
      </c>
      <c r="C756" s="13" t="s">
        <v>65</v>
      </c>
      <c r="D756" s="13" t="s">
        <v>39</v>
      </c>
      <c r="E756" s="13" t="s">
        <v>308</v>
      </c>
      <c r="F756" s="13" t="s">
        <v>20</v>
      </c>
      <c r="G756" s="15">
        <v>1479.7</v>
      </c>
    </row>
    <row r="757" spans="1:10" x14ac:dyDescent="0.25">
      <c r="A757" s="29" t="s">
        <v>21</v>
      </c>
      <c r="B757" s="13" t="s">
        <v>44</v>
      </c>
      <c r="C757" s="13" t="s">
        <v>65</v>
      </c>
      <c r="D757" s="13" t="s">
        <v>39</v>
      </c>
      <c r="E757" s="13" t="s">
        <v>308</v>
      </c>
      <c r="F757" s="13" t="s">
        <v>22</v>
      </c>
      <c r="G757" s="15">
        <f>50+54.8+1517.3+852.9+58.9+375.2-1479.7+3382.6+252.8+13744.3+795.6+8342.3+1718.2+1467.2-505.5-1306.1+88.3-88.3+2099.5+232+0.1+100</f>
        <v>31752.399999999998</v>
      </c>
      <c r="J757" s="96"/>
    </row>
    <row r="758" spans="1:10" ht="46.8" x14ac:dyDescent="0.25">
      <c r="A758" s="31" t="s">
        <v>419</v>
      </c>
      <c r="B758" s="13" t="s">
        <v>70</v>
      </c>
      <c r="C758" s="13"/>
      <c r="D758" s="13"/>
      <c r="E758" s="13"/>
      <c r="F758" s="13"/>
      <c r="G758" s="15">
        <f>SUM(G759)</f>
        <v>48819.899999999994</v>
      </c>
    </row>
    <row r="759" spans="1:10" ht="46.8" x14ac:dyDescent="0.25">
      <c r="A759" s="31" t="s">
        <v>420</v>
      </c>
      <c r="B759" s="13" t="s">
        <v>70</v>
      </c>
      <c r="C759" s="13" t="s">
        <v>58</v>
      </c>
      <c r="D759" s="13"/>
      <c r="E759" s="13"/>
      <c r="F759" s="13"/>
      <c r="G759" s="15">
        <f>SUM(G760)</f>
        <v>48819.899999999994</v>
      </c>
    </row>
    <row r="760" spans="1:10" x14ac:dyDescent="0.25">
      <c r="A760" s="31" t="s">
        <v>17</v>
      </c>
      <c r="B760" s="13" t="s">
        <v>70</v>
      </c>
      <c r="C760" s="13" t="s">
        <v>58</v>
      </c>
      <c r="D760" s="13" t="s">
        <v>39</v>
      </c>
      <c r="E760" s="13" t="s">
        <v>41</v>
      </c>
      <c r="F760" s="13"/>
      <c r="G760" s="15">
        <f>SUM(G761:G764)</f>
        <v>48819.899999999994</v>
      </c>
    </row>
    <row r="761" spans="1:10" ht="46.8" x14ac:dyDescent="0.25">
      <c r="A761" s="29" t="s">
        <v>114</v>
      </c>
      <c r="B761" s="13" t="s">
        <v>70</v>
      </c>
      <c r="C761" s="13" t="s">
        <v>58</v>
      </c>
      <c r="D761" s="13" t="s">
        <v>39</v>
      </c>
      <c r="E761" s="13" t="s">
        <v>41</v>
      </c>
      <c r="F761" s="13" t="s">
        <v>19</v>
      </c>
      <c r="G761" s="15">
        <v>48181.7</v>
      </c>
    </row>
    <row r="762" spans="1:10" ht="31.2" x14ac:dyDescent="0.25">
      <c r="A762" s="29" t="s">
        <v>115</v>
      </c>
      <c r="B762" s="13" t="s">
        <v>70</v>
      </c>
      <c r="C762" s="13" t="s">
        <v>58</v>
      </c>
      <c r="D762" s="13" t="s">
        <v>39</v>
      </c>
      <c r="E762" s="13" t="s">
        <v>41</v>
      </c>
      <c r="F762" s="13" t="s">
        <v>20</v>
      </c>
      <c r="G762" s="15">
        <v>634.20000000000005</v>
      </c>
    </row>
    <row r="763" spans="1:10" x14ac:dyDescent="0.25">
      <c r="A763" s="29" t="s">
        <v>117</v>
      </c>
      <c r="B763" s="13" t="s">
        <v>70</v>
      </c>
      <c r="C763" s="13" t="s">
        <v>58</v>
      </c>
      <c r="D763" s="13" t="s">
        <v>39</v>
      </c>
      <c r="E763" s="13" t="s">
        <v>41</v>
      </c>
      <c r="F763" s="13" t="s">
        <v>109</v>
      </c>
      <c r="G763" s="15"/>
    </row>
    <row r="764" spans="1:10" x14ac:dyDescent="0.25">
      <c r="A764" s="29" t="s">
        <v>21</v>
      </c>
      <c r="B764" s="13" t="s">
        <v>70</v>
      </c>
      <c r="C764" s="13" t="s">
        <v>58</v>
      </c>
      <c r="D764" s="13" t="s">
        <v>39</v>
      </c>
      <c r="E764" s="13" t="s">
        <v>41</v>
      </c>
      <c r="F764" s="13" t="s">
        <v>22</v>
      </c>
      <c r="G764" s="15">
        <v>4</v>
      </c>
    </row>
    <row r="765" spans="1:10" s="96" customFormat="1" ht="31.2" x14ac:dyDescent="0.25">
      <c r="A765" s="31" t="s">
        <v>422</v>
      </c>
      <c r="B765" s="13" t="s">
        <v>73</v>
      </c>
      <c r="C765" s="13"/>
      <c r="D765" s="13"/>
      <c r="E765" s="13"/>
      <c r="F765" s="13"/>
      <c r="G765" s="15">
        <f>SUM(G766)</f>
        <v>14017</v>
      </c>
    </row>
    <row r="766" spans="1:10" s="96" customFormat="1" ht="31.2" x14ac:dyDescent="0.25">
      <c r="A766" s="31" t="s">
        <v>423</v>
      </c>
      <c r="B766" s="13" t="s">
        <v>73</v>
      </c>
      <c r="C766" s="13" t="s">
        <v>58</v>
      </c>
      <c r="D766" s="13"/>
      <c r="E766" s="13"/>
      <c r="F766" s="13"/>
      <c r="G766" s="15">
        <f>SUM(G767)</f>
        <v>14017</v>
      </c>
    </row>
    <row r="767" spans="1:10" s="96" customFormat="1" x14ac:dyDescent="0.25">
      <c r="A767" s="31" t="s">
        <v>17</v>
      </c>
      <c r="B767" s="13" t="s">
        <v>73</v>
      </c>
      <c r="C767" s="13" t="s">
        <v>58</v>
      </c>
      <c r="D767" s="13" t="s">
        <v>39</v>
      </c>
      <c r="E767" s="13" t="s">
        <v>41</v>
      </c>
      <c r="F767" s="13"/>
      <c r="G767" s="15">
        <f>SUM(G768:G770)</f>
        <v>14017</v>
      </c>
    </row>
    <row r="768" spans="1:10" s="96" customFormat="1" ht="46.8" x14ac:dyDescent="0.25">
      <c r="A768" s="29" t="s">
        <v>114</v>
      </c>
      <c r="B768" s="13" t="s">
        <v>73</v>
      </c>
      <c r="C768" s="13" t="s">
        <v>58</v>
      </c>
      <c r="D768" s="13" t="s">
        <v>39</v>
      </c>
      <c r="E768" s="13" t="s">
        <v>41</v>
      </c>
      <c r="F768" s="13" t="s">
        <v>19</v>
      </c>
      <c r="G768" s="15">
        <v>13380</v>
      </c>
    </row>
    <row r="769" spans="1:7" s="96" customFormat="1" ht="31.2" x14ac:dyDescent="0.25">
      <c r="A769" s="29" t="s">
        <v>115</v>
      </c>
      <c r="B769" s="13" t="s">
        <v>73</v>
      </c>
      <c r="C769" s="13" t="s">
        <v>58</v>
      </c>
      <c r="D769" s="13" t="s">
        <v>39</v>
      </c>
      <c r="E769" s="13" t="s">
        <v>41</v>
      </c>
      <c r="F769" s="13" t="s">
        <v>20</v>
      </c>
      <c r="G769" s="15">
        <v>610</v>
      </c>
    </row>
    <row r="770" spans="1:7" s="96" customFormat="1" x14ac:dyDescent="0.25">
      <c r="A770" s="29" t="s">
        <v>21</v>
      </c>
      <c r="B770" s="13" t="s">
        <v>73</v>
      </c>
      <c r="C770" s="13" t="s">
        <v>58</v>
      </c>
      <c r="D770" s="13" t="s">
        <v>39</v>
      </c>
      <c r="E770" s="13" t="s">
        <v>41</v>
      </c>
      <c r="F770" s="13" t="s">
        <v>22</v>
      </c>
      <c r="G770" s="15">
        <v>27</v>
      </c>
    </row>
    <row r="771" spans="1:7" s="96" customFormat="1" x14ac:dyDescent="0.25">
      <c r="A771" s="29" t="s">
        <v>499</v>
      </c>
      <c r="B771" s="13" t="s">
        <v>504</v>
      </c>
      <c r="C771" s="13"/>
      <c r="D771" s="13"/>
      <c r="E771" s="13"/>
      <c r="F771" s="13"/>
      <c r="G771" s="15">
        <f>SUM(G772)</f>
        <v>54.7</v>
      </c>
    </row>
    <row r="772" spans="1:7" s="96" customFormat="1" x14ac:dyDescent="0.25">
      <c r="A772" s="31" t="s">
        <v>500</v>
      </c>
      <c r="B772" s="13" t="s">
        <v>504</v>
      </c>
      <c r="C772" s="13" t="s">
        <v>58</v>
      </c>
      <c r="D772" s="13"/>
      <c r="E772" s="13"/>
      <c r="F772" s="13"/>
      <c r="G772" s="15">
        <f>SUM(G774)</f>
        <v>54.7</v>
      </c>
    </row>
    <row r="773" spans="1:7" s="96" customFormat="1" ht="46.8" x14ac:dyDescent="0.25">
      <c r="A773" s="31" t="s">
        <v>501</v>
      </c>
      <c r="B773" s="13" t="s">
        <v>504</v>
      </c>
      <c r="C773" s="13" t="s">
        <v>58</v>
      </c>
      <c r="D773" s="13" t="s">
        <v>0</v>
      </c>
      <c r="E773" s="13"/>
      <c r="F773" s="13"/>
      <c r="G773" s="15">
        <f>SUM(G774)</f>
        <v>54.7</v>
      </c>
    </row>
    <row r="774" spans="1:7" s="96" customFormat="1" x14ac:dyDescent="0.25">
      <c r="A774" s="31" t="s">
        <v>502</v>
      </c>
      <c r="B774" s="13" t="s">
        <v>504</v>
      </c>
      <c r="C774" s="13" t="s">
        <v>58</v>
      </c>
      <c r="D774" s="13" t="s">
        <v>0</v>
      </c>
      <c r="E774" s="13" t="s">
        <v>505</v>
      </c>
      <c r="F774" s="13"/>
      <c r="G774" s="15">
        <f>SUM(G775)</f>
        <v>54.7</v>
      </c>
    </row>
    <row r="775" spans="1:7" s="96" customFormat="1" x14ac:dyDescent="0.25">
      <c r="A775" s="29" t="s">
        <v>594</v>
      </c>
      <c r="B775" s="13" t="s">
        <v>504</v>
      </c>
      <c r="C775" s="13" t="s">
        <v>58</v>
      </c>
      <c r="D775" s="13" t="s">
        <v>0</v>
      </c>
      <c r="E775" s="13" t="s">
        <v>505</v>
      </c>
      <c r="F775" s="13" t="s">
        <v>506</v>
      </c>
      <c r="G775" s="15">
        <v>54.7</v>
      </c>
    </row>
    <row r="776" spans="1:7" s="96" customFormat="1" x14ac:dyDescent="0.25">
      <c r="A776" s="29" t="s">
        <v>24</v>
      </c>
      <c r="B776" s="13" t="s">
        <v>497</v>
      </c>
      <c r="C776" s="13"/>
      <c r="D776" s="13"/>
      <c r="E776" s="13"/>
      <c r="F776" s="13"/>
      <c r="G776" s="15">
        <f>SUM(G777+G781+G779)</f>
        <v>83669.399999999994</v>
      </c>
    </row>
    <row r="777" spans="1:7" s="96" customFormat="1" ht="31.2" x14ac:dyDescent="0.25">
      <c r="A777" s="29" t="s">
        <v>421</v>
      </c>
      <c r="B777" s="13" t="s">
        <v>497</v>
      </c>
      <c r="C777" s="13" t="s">
        <v>498</v>
      </c>
      <c r="D777" s="13" t="s">
        <v>39</v>
      </c>
      <c r="E777" s="13" t="s">
        <v>72</v>
      </c>
      <c r="F777" s="13"/>
      <c r="G777" s="15">
        <f>SUM(G778)</f>
        <v>43307.3</v>
      </c>
    </row>
    <row r="778" spans="1:7" s="96" customFormat="1" x14ac:dyDescent="0.25">
      <c r="A778" s="29" t="s">
        <v>21</v>
      </c>
      <c r="B778" s="13" t="s">
        <v>497</v>
      </c>
      <c r="C778" s="13" t="s">
        <v>498</v>
      </c>
      <c r="D778" s="13" t="s">
        <v>39</v>
      </c>
      <c r="E778" s="13" t="s">
        <v>72</v>
      </c>
      <c r="F778" s="13" t="s">
        <v>22</v>
      </c>
      <c r="G778" s="15">
        <f>5000-237.1+64780.8-200-14363.9+88.3-200-300-10452.6-0.1-808.1</f>
        <v>43307.3</v>
      </c>
    </row>
    <row r="779" spans="1:7" s="96" customFormat="1" x14ac:dyDescent="0.25">
      <c r="A779" s="29" t="s">
        <v>322</v>
      </c>
      <c r="B779" s="13" t="s">
        <v>497</v>
      </c>
      <c r="C779" s="13" t="s">
        <v>498</v>
      </c>
      <c r="D779" s="13" t="s">
        <v>39</v>
      </c>
      <c r="E779" s="13" t="s">
        <v>321</v>
      </c>
      <c r="F779" s="13"/>
      <c r="G779" s="15">
        <f>G780</f>
        <v>19125</v>
      </c>
    </row>
    <row r="780" spans="1:7" s="96" customFormat="1" x14ac:dyDescent="0.25">
      <c r="A780" s="29" t="s">
        <v>117</v>
      </c>
      <c r="B780" s="13" t="s">
        <v>497</v>
      </c>
      <c r="C780" s="13" t="s">
        <v>498</v>
      </c>
      <c r="D780" s="13" t="s">
        <v>39</v>
      </c>
      <c r="E780" s="13" t="s">
        <v>321</v>
      </c>
      <c r="F780" s="13" t="s">
        <v>109</v>
      </c>
      <c r="G780" s="15">
        <v>19125</v>
      </c>
    </row>
    <row r="781" spans="1:7" s="96" customFormat="1" x14ac:dyDescent="0.25">
      <c r="A781" s="29" t="s">
        <v>322</v>
      </c>
      <c r="B781" s="13" t="s">
        <v>497</v>
      </c>
      <c r="C781" s="13" t="s">
        <v>498</v>
      </c>
      <c r="D781" s="13" t="s">
        <v>39</v>
      </c>
      <c r="E781" s="13" t="s">
        <v>628</v>
      </c>
      <c r="F781" s="13"/>
      <c r="G781" s="15">
        <f>G782</f>
        <v>21237.1</v>
      </c>
    </row>
    <row r="782" spans="1:7" s="96" customFormat="1" ht="31.2" x14ac:dyDescent="0.25">
      <c r="A782" s="29" t="s">
        <v>115</v>
      </c>
      <c r="B782" s="13" t="s">
        <v>497</v>
      </c>
      <c r="C782" s="13" t="s">
        <v>498</v>
      </c>
      <c r="D782" s="13" t="s">
        <v>39</v>
      </c>
      <c r="E782" s="13" t="s">
        <v>628</v>
      </c>
      <c r="F782" s="13" t="s">
        <v>20</v>
      </c>
      <c r="G782" s="15">
        <f>237.1+21000</f>
        <v>21237.1</v>
      </c>
    </row>
    <row r="783" spans="1:7" s="96" customFormat="1" ht="33" customHeight="1" x14ac:dyDescent="0.25">
      <c r="A783" s="31" t="s">
        <v>424</v>
      </c>
      <c r="B783" s="13" t="s">
        <v>54</v>
      </c>
      <c r="C783" s="13"/>
      <c r="D783" s="13"/>
      <c r="E783" s="13"/>
      <c r="F783" s="13"/>
      <c r="G783" s="15">
        <f>SUM(G784)</f>
        <v>235.4</v>
      </c>
    </row>
    <row r="784" spans="1:7" s="96" customFormat="1" x14ac:dyDescent="0.25">
      <c r="A784" s="31" t="s">
        <v>36</v>
      </c>
      <c r="B784" s="13" t="s">
        <v>54</v>
      </c>
      <c r="C784" s="13" t="s">
        <v>58</v>
      </c>
      <c r="D784" s="13" t="s">
        <v>39</v>
      </c>
      <c r="E784" s="13"/>
      <c r="F784" s="13"/>
      <c r="G784" s="15">
        <f>SUM(G785)</f>
        <v>235.4</v>
      </c>
    </row>
    <row r="785" spans="1:7" s="96" customFormat="1" x14ac:dyDescent="0.25">
      <c r="A785" s="31" t="s">
        <v>6</v>
      </c>
      <c r="B785" s="13" t="s">
        <v>54</v>
      </c>
      <c r="C785" s="13" t="s">
        <v>58</v>
      </c>
      <c r="D785" s="13" t="s">
        <v>39</v>
      </c>
      <c r="E785" s="13" t="s">
        <v>55</v>
      </c>
      <c r="F785" s="13"/>
      <c r="G785" s="15">
        <f>SUM(G786:G786)</f>
        <v>235.4</v>
      </c>
    </row>
    <row r="786" spans="1:7" s="96" customFormat="1" ht="31.2" x14ac:dyDescent="0.25">
      <c r="A786" s="29" t="s">
        <v>115</v>
      </c>
      <c r="B786" s="13" t="s">
        <v>54</v>
      </c>
      <c r="C786" s="13" t="s">
        <v>58</v>
      </c>
      <c r="D786" s="13" t="s">
        <v>39</v>
      </c>
      <c r="E786" s="13" t="s">
        <v>55</v>
      </c>
      <c r="F786" s="13" t="s">
        <v>20</v>
      </c>
      <c r="G786" s="15">
        <v>235.4</v>
      </c>
    </row>
    <row r="787" spans="1:7" s="96" customFormat="1" ht="22.5" customHeight="1" x14ac:dyDescent="0.25">
      <c r="A787" s="108"/>
      <c r="B787" s="101"/>
      <c r="C787" s="101"/>
      <c r="D787" s="101"/>
      <c r="E787" s="101"/>
      <c r="F787" s="101"/>
      <c r="G787" s="110" t="s">
        <v>576</v>
      </c>
    </row>
    <row r="788" spans="1:7" s="96" customFormat="1" ht="24" customHeight="1" x14ac:dyDescent="0.35">
      <c r="A788" s="122" t="s">
        <v>575</v>
      </c>
      <c r="B788" s="122"/>
      <c r="C788" s="102"/>
      <c r="D788" s="103"/>
      <c r="E788" s="104"/>
      <c r="F788" s="104"/>
      <c r="G788" s="104"/>
    </row>
    <row r="789" spans="1:7" s="96" customFormat="1" ht="18" customHeight="1" x14ac:dyDescent="0.35">
      <c r="A789" s="128" t="s">
        <v>573</v>
      </c>
      <c r="B789" s="128"/>
      <c r="C789" s="102"/>
      <c r="D789" s="103"/>
      <c r="E789" s="103"/>
      <c r="F789" s="103"/>
      <c r="G789" s="104"/>
    </row>
    <row r="790" spans="1:7" s="96" customFormat="1" ht="17.25" customHeight="1" x14ac:dyDescent="0.35">
      <c r="A790" s="129" t="s">
        <v>574</v>
      </c>
      <c r="B790" s="129"/>
      <c r="C790" s="102"/>
      <c r="D790" s="103"/>
      <c r="F790" s="130" t="s">
        <v>349</v>
      </c>
      <c r="G790" s="130"/>
    </row>
    <row r="791" spans="1:7" s="96" customFormat="1" ht="78.599999999999994" customHeight="1" x14ac:dyDescent="0.25">
      <c r="A791" s="109"/>
      <c r="B791" s="92"/>
      <c r="C791" s="93"/>
      <c r="D791" s="92"/>
      <c r="E791" s="92"/>
      <c r="F791" s="92"/>
      <c r="G791" s="94"/>
    </row>
    <row r="792" spans="1:7" s="96" customFormat="1" ht="33.6" customHeight="1" x14ac:dyDescent="0.25">
      <c r="A792" s="106"/>
      <c r="B792" s="92"/>
      <c r="C792" s="93"/>
      <c r="D792" s="92"/>
      <c r="E792" s="92"/>
      <c r="F792" s="92"/>
      <c r="G792" s="94"/>
    </row>
    <row r="793" spans="1:7" s="96" customFormat="1" ht="22.5" customHeight="1" x14ac:dyDescent="0.25">
      <c r="A793" s="106"/>
      <c r="B793" s="92"/>
      <c r="C793" s="93"/>
      <c r="D793" s="92"/>
      <c r="E793" s="92"/>
      <c r="F793" s="92"/>
      <c r="G793" s="94"/>
    </row>
    <row r="794" spans="1:7" s="96" customFormat="1" ht="21.75" customHeight="1" x14ac:dyDescent="0.25">
      <c r="A794" s="106"/>
      <c r="B794" s="92"/>
      <c r="C794" s="93"/>
      <c r="D794" s="92"/>
      <c r="E794" s="92"/>
      <c r="F794" s="92"/>
      <c r="G794" s="94"/>
    </row>
    <row r="795" spans="1:7" s="96" customFormat="1" ht="32.25" customHeight="1" x14ac:dyDescent="0.25">
      <c r="A795" s="106"/>
      <c r="B795" s="92"/>
      <c r="C795" s="93"/>
      <c r="D795" s="92"/>
      <c r="E795" s="92"/>
      <c r="F795" s="92"/>
      <c r="G795" s="94"/>
    </row>
    <row r="796" spans="1:7" s="96" customFormat="1" ht="19.2" customHeight="1" x14ac:dyDescent="0.25">
      <c r="A796" s="106"/>
      <c r="B796" s="92"/>
      <c r="C796" s="93"/>
      <c r="D796" s="92"/>
      <c r="E796" s="92"/>
      <c r="F796" s="92"/>
      <c r="G796" s="94"/>
    </row>
    <row r="797" spans="1:7" s="96" customFormat="1" x14ac:dyDescent="0.25">
      <c r="A797" s="106"/>
      <c r="B797" s="92"/>
      <c r="C797" s="93"/>
      <c r="D797" s="92"/>
      <c r="E797" s="92"/>
      <c r="F797" s="92"/>
      <c r="G797" s="94"/>
    </row>
    <row r="798" spans="1:7" s="96" customFormat="1" ht="33.75" customHeight="1" x14ac:dyDescent="0.25">
      <c r="A798" s="106"/>
      <c r="B798" s="92"/>
      <c r="C798" s="93"/>
      <c r="D798" s="92"/>
      <c r="E798" s="92"/>
      <c r="F798" s="92"/>
      <c r="G798" s="94"/>
    </row>
    <row r="799" spans="1:7" s="96" customFormat="1" ht="36.6" customHeight="1" x14ac:dyDescent="0.25">
      <c r="A799" s="106"/>
      <c r="B799" s="92"/>
      <c r="C799" s="93"/>
      <c r="D799" s="92"/>
      <c r="E799" s="92"/>
      <c r="F799" s="93"/>
      <c r="G799" s="94"/>
    </row>
    <row r="800" spans="1:7" s="96" customFormat="1" ht="15.6" customHeight="1" x14ac:dyDescent="0.25">
      <c r="A800" s="106"/>
      <c r="B800" s="92"/>
      <c r="C800" s="93"/>
      <c r="D800" s="92"/>
      <c r="E800" s="92"/>
      <c r="F800" s="93"/>
      <c r="G800" s="94"/>
    </row>
    <row r="801" spans="1:9" s="96" customFormat="1" ht="45.75" customHeight="1" x14ac:dyDescent="0.25">
      <c r="A801" s="106"/>
      <c r="B801" s="92"/>
      <c r="C801" s="93"/>
      <c r="D801" s="92"/>
      <c r="E801" s="92"/>
      <c r="F801" s="92"/>
      <c r="G801" s="94"/>
    </row>
    <row r="802" spans="1:9" s="96" customFormat="1" ht="33" customHeight="1" x14ac:dyDescent="0.25">
      <c r="A802" s="106"/>
      <c r="B802" s="92"/>
      <c r="C802" s="93"/>
      <c r="D802" s="92"/>
      <c r="E802" s="92"/>
      <c r="F802" s="93"/>
      <c r="G802" s="94"/>
    </row>
    <row r="803" spans="1:9" s="96" customFormat="1" ht="32.25" customHeight="1" x14ac:dyDescent="0.25">
      <c r="A803" s="106"/>
      <c r="B803" s="92"/>
      <c r="C803" s="93"/>
      <c r="D803" s="92"/>
      <c r="E803" s="92"/>
      <c r="F803" s="92"/>
      <c r="G803" s="94"/>
    </row>
    <row r="804" spans="1:9" ht="18.600000000000001" customHeight="1" x14ac:dyDescent="0.25"/>
    <row r="806" spans="1:9" ht="53.25" customHeight="1" x14ac:dyDescent="0.25"/>
    <row r="807" spans="1:9" ht="36" customHeight="1" x14ac:dyDescent="0.25"/>
    <row r="808" spans="1:9" ht="18" customHeight="1" x14ac:dyDescent="0.25"/>
    <row r="809" spans="1:9" ht="19.2" customHeight="1" x14ac:dyDescent="0.25">
      <c r="B809" s="95"/>
      <c r="C809" s="95"/>
      <c r="D809" s="95"/>
      <c r="E809" s="95"/>
      <c r="F809" s="93"/>
      <c r="G809" s="95"/>
    </row>
    <row r="810" spans="1:9" ht="21" customHeight="1" x14ac:dyDescent="0.25"/>
    <row r="811" spans="1:9" ht="36.75" customHeight="1" x14ac:dyDescent="0.25"/>
    <row r="812" spans="1:9" ht="21.6" customHeight="1" x14ac:dyDescent="0.25">
      <c r="B812" s="95"/>
      <c r="C812" s="95"/>
      <c r="D812" s="95"/>
      <c r="E812" s="95"/>
      <c r="F812" s="93"/>
      <c r="G812" s="95"/>
    </row>
    <row r="813" spans="1:9" ht="6.6" customHeight="1" x14ac:dyDescent="0.25"/>
    <row r="814" spans="1:9" ht="58.95" customHeight="1" x14ac:dyDescent="0.25"/>
    <row r="815" spans="1:9" ht="18" x14ac:dyDescent="0.35">
      <c r="H815" s="104"/>
      <c r="I815" s="104"/>
    </row>
    <row r="818" spans="2:7" ht="37.5" customHeight="1" x14ac:dyDescent="0.25"/>
    <row r="819" spans="2:7" ht="23.25" customHeight="1" x14ac:dyDescent="0.25">
      <c r="B819" s="95"/>
      <c r="C819" s="95"/>
      <c r="D819" s="95"/>
      <c r="E819" s="95"/>
      <c r="F819" s="93"/>
      <c r="G819" s="95"/>
    </row>
    <row r="821" spans="2:7" ht="24.75" customHeight="1" x14ac:dyDescent="0.25"/>
    <row r="823" spans="2:7" x14ac:dyDescent="0.25">
      <c r="B823" s="95"/>
      <c r="C823" s="95"/>
      <c r="D823" s="95"/>
      <c r="E823" s="95"/>
      <c r="G823" s="95"/>
    </row>
    <row r="824" spans="2:7" x14ac:dyDescent="0.25">
      <c r="B824" s="95"/>
      <c r="C824" s="95"/>
      <c r="D824" s="95"/>
      <c r="E824" s="95"/>
      <c r="G824" s="95"/>
    </row>
    <row r="825" spans="2:7" x14ac:dyDescent="0.25">
      <c r="B825" s="95"/>
      <c r="C825" s="95"/>
      <c r="D825" s="95"/>
      <c r="E825" s="95"/>
      <c r="G825" s="95"/>
    </row>
    <row r="826" spans="2:7" x14ac:dyDescent="0.25">
      <c r="B826" s="95"/>
      <c r="C826" s="95"/>
      <c r="D826" s="95"/>
      <c r="E826" s="95"/>
      <c r="G826" s="95"/>
    </row>
    <row r="827" spans="2:7" x14ac:dyDescent="0.25">
      <c r="B827" s="95"/>
      <c r="C827" s="95"/>
      <c r="D827" s="95"/>
      <c r="E827" s="95"/>
      <c r="G827" s="95"/>
    </row>
    <row r="828" spans="2:7" ht="21.75" customHeight="1" x14ac:dyDescent="0.25"/>
    <row r="830" spans="2:7" x14ac:dyDescent="0.25">
      <c r="B830" s="95"/>
      <c r="C830" s="95"/>
      <c r="D830" s="95"/>
      <c r="E830" s="95"/>
      <c r="F830" s="93"/>
      <c r="G830" s="95"/>
    </row>
    <row r="831" spans="2:7" ht="23.25" customHeight="1" x14ac:dyDescent="0.25">
      <c r="B831" s="95"/>
      <c r="C831" s="95"/>
      <c r="D831" s="95"/>
      <c r="E831" s="95"/>
      <c r="F831" s="93"/>
      <c r="G831" s="95"/>
    </row>
    <row r="832" spans="2:7" x14ac:dyDescent="0.25">
      <c r="B832" s="95"/>
      <c r="C832" s="95"/>
      <c r="D832" s="95"/>
      <c r="E832" s="95"/>
      <c r="F832" s="93"/>
      <c r="G832" s="95"/>
    </row>
    <row r="833" spans="2:7" x14ac:dyDescent="0.25">
      <c r="B833" s="95"/>
      <c r="C833" s="95"/>
      <c r="D833" s="95"/>
      <c r="E833" s="95"/>
      <c r="F833" s="93"/>
      <c r="G833" s="95"/>
    </row>
    <row r="834" spans="2:7" x14ac:dyDescent="0.25">
      <c r="B834" s="95"/>
      <c r="C834" s="95"/>
      <c r="D834" s="95"/>
      <c r="E834" s="95"/>
      <c r="F834" s="93"/>
      <c r="G834" s="95"/>
    </row>
    <row r="836" spans="2:7" x14ac:dyDescent="0.25">
      <c r="B836" s="95"/>
      <c r="C836" s="95"/>
      <c r="D836" s="95"/>
      <c r="E836" s="95"/>
      <c r="G836" s="95"/>
    </row>
    <row r="838" spans="2:7" ht="24" customHeight="1" x14ac:dyDescent="0.25"/>
    <row r="840" spans="2:7" x14ac:dyDescent="0.25">
      <c r="B840" s="95"/>
      <c r="C840" s="95"/>
      <c r="D840" s="95"/>
      <c r="E840" s="95"/>
      <c r="G840" s="95"/>
    </row>
    <row r="842" spans="2:7" x14ac:dyDescent="0.25">
      <c r="B842" s="95"/>
      <c r="C842" s="95"/>
      <c r="D842" s="95"/>
      <c r="E842" s="95"/>
      <c r="G842" s="95"/>
    </row>
    <row r="843" spans="2:7" x14ac:dyDescent="0.25">
      <c r="B843" s="95"/>
      <c r="C843" s="95"/>
      <c r="D843" s="95"/>
      <c r="E843" s="95"/>
      <c r="F843" s="93"/>
      <c r="G843" s="95"/>
    </row>
    <row r="844" spans="2:7" x14ac:dyDescent="0.25">
      <c r="B844" s="95"/>
      <c r="C844" s="95"/>
      <c r="D844" s="95"/>
      <c r="E844" s="95"/>
      <c r="G844" s="95"/>
    </row>
    <row r="845" spans="2:7" x14ac:dyDescent="0.25">
      <c r="B845" s="95"/>
      <c r="C845" s="95"/>
      <c r="D845" s="95"/>
      <c r="E845" s="95"/>
      <c r="G845" s="95"/>
    </row>
    <row r="847" spans="2:7" x14ac:dyDescent="0.25">
      <c r="B847" s="95"/>
      <c r="C847" s="95"/>
      <c r="D847" s="95"/>
      <c r="E847" s="95"/>
      <c r="F847" s="93"/>
      <c r="G847" s="95"/>
    </row>
    <row r="848" spans="2:7" x14ac:dyDescent="0.25">
      <c r="B848" s="95"/>
      <c r="C848" s="95"/>
      <c r="D848" s="95"/>
      <c r="E848" s="95"/>
      <c r="G848" s="95"/>
    </row>
    <row r="849" spans="2:7" ht="18.75" customHeight="1" x14ac:dyDescent="0.25">
      <c r="B849" s="95"/>
      <c r="C849" s="95"/>
      <c r="D849" s="95"/>
      <c r="E849" s="95"/>
      <c r="F849" s="93"/>
      <c r="G849" s="95"/>
    </row>
    <row r="850" spans="2:7" ht="18.75" customHeight="1" x14ac:dyDescent="0.25"/>
    <row r="851" spans="2:7" ht="15.75" customHeight="1" x14ac:dyDescent="0.25">
      <c r="B851" s="95"/>
      <c r="C851" s="95"/>
      <c r="D851" s="95"/>
      <c r="E851" s="95"/>
      <c r="F851" s="93"/>
      <c r="G851" s="95"/>
    </row>
    <row r="852" spans="2:7" ht="24" customHeight="1" x14ac:dyDescent="0.25">
      <c r="B852" s="95"/>
      <c r="C852" s="95"/>
      <c r="D852" s="95"/>
      <c r="E852" s="95"/>
      <c r="F852" s="93"/>
      <c r="G852" s="95"/>
    </row>
    <row r="853" spans="2:7" ht="18" customHeight="1" x14ac:dyDescent="0.25">
      <c r="B853" s="95"/>
      <c r="C853" s="95"/>
      <c r="D853" s="95"/>
      <c r="E853" s="95"/>
      <c r="G853" s="95"/>
    </row>
    <row r="855" spans="2:7" x14ac:dyDescent="0.25">
      <c r="B855" s="95"/>
      <c r="C855" s="95"/>
      <c r="D855" s="95"/>
      <c r="E855" s="95"/>
      <c r="F855" s="93"/>
      <c r="G855" s="95"/>
    </row>
    <row r="856" spans="2:7" x14ac:dyDescent="0.25">
      <c r="B856" s="95"/>
      <c r="C856" s="95"/>
      <c r="D856" s="95"/>
      <c r="E856" s="95"/>
      <c r="G856" s="95"/>
    </row>
    <row r="858" spans="2:7" x14ac:dyDescent="0.25">
      <c r="B858" s="95"/>
      <c r="C858" s="95"/>
      <c r="D858" s="95"/>
      <c r="E858" s="95"/>
      <c r="F858" s="93"/>
      <c r="G858" s="95"/>
    </row>
    <row r="859" spans="2:7" x14ac:dyDescent="0.25">
      <c r="B859" s="95"/>
      <c r="C859" s="95"/>
      <c r="D859" s="95"/>
      <c r="E859" s="95"/>
      <c r="F859" s="93"/>
      <c r="G859" s="95"/>
    </row>
    <row r="860" spans="2:7" x14ac:dyDescent="0.25">
      <c r="B860" s="95"/>
      <c r="C860" s="95"/>
      <c r="D860" s="95"/>
      <c r="E860" s="95"/>
      <c r="F860" s="93"/>
      <c r="G860" s="95"/>
    </row>
    <row r="861" spans="2:7" x14ac:dyDescent="0.25">
      <c r="B861" s="95"/>
      <c r="C861" s="95"/>
      <c r="D861" s="95"/>
      <c r="E861" s="95"/>
      <c r="G861" s="95"/>
    </row>
    <row r="862" spans="2:7" ht="48.75" customHeight="1" x14ac:dyDescent="0.25"/>
    <row r="863" spans="2:7" x14ac:dyDescent="0.25">
      <c r="B863" s="95"/>
      <c r="C863" s="95"/>
      <c r="D863" s="95"/>
      <c r="E863" s="95"/>
      <c r="F863" s="93"/>
      <c r="G863" s="95"/>
    </row>
    <row r="866" spans="2:7" ht="38.25" customHeight="1" x14ac:dyDescent="0.25">
      <c r="B866" s="95"/>
      <c r="C866" s="95"/>
      <c r="D866" s="95"/>
      <c r="E866" s="95"/>
      <c r="G866" s="95"/>
    </row>
    <row r="868" spans="2:7" ht="48" customHeight="1" x14ac:dyDescent="0.25">
      <c r="B868" s="95"/>
      <c r="C868" s="95"/>
      <c r="D868" s="95"/>
      <c r="E868" s="95"/>
      <c r="F868" s="93"/>
      <c r="G868" s="95"/>
    </row>
    <row r="869" spans="2:7" x14ac:dyDescent="0.25">
      <c r="B869" s="95"/>
      <c r="C869" s="95"/>
      <c r="D869" s="95"/>
      <c r="E869" s="95"/>
      <c r="G869" s="95"/>
    </row>
    <row r="870" spans="2:7" ht="51" customHeight="1" x14ac:dyDescent="0.25">
      <c r="B870" s="95"/>
      <c r="C870" s="95"/>
      <c r="D870" s="95"/>
      <c r="E870" s="95"/>
      <c r="F870" s="93"/>
      <c r="G870" s="95"/>
    </row>
    <row r="871" spans="2:7" ht="32.25" customHeight="1" x14ac:dyDescent="0.25"/>
    <row r="873" spans="2:7" x14ac:dyDescent="0.25">
      <c r="B873" s="95"/>
      <c r="C873" s="95"/>
      <c r="D873" s="95"/>
      <c r="E873" s="95"/>
      <c r="F873" s="93"/>
      <c r="G873" s="95"/>
    </row>
    <row r="874" spans="2:7" ht="48" customHeight="1" x14ac:dyDescent="0.25"/>
    <row r="875" spans="2:7" x14ac:dyDescent="0.25">
      <c r="B875" s="95"/>
      <c r="C875" s="95"/>
      <c r="D875" s="95"/>
      <c r="E875" s="95"/>
      <c r="F875" s="93"/>
      <c r="G875" s="95"/>
    </row>
    <row r="876" spans="2:7" x14ac:dyDescent="0.25">
      <c r="B876" s="95"/>
      <c r="C876" s="95"/>
      <c r="D876" s="95"/>
      <c r="E876" s="95"/>
      <c r="F876" s="93"/>
      <c r="G876" s="95"/>
    </row>
    <row r="877" spans="2:7" ht="18" customHeight="1" x14ac:dyDescent="0.25"/>
    <row r="878" spans="2:7" ht="50.25" customHeight="1" x14ac:dyDescent="0.25"/>
    <row r="879" spans="2:7" ht="47.25" customHeight="1" x14ac:dyDescent="0.25"/>
    <row r="881" spans="2:7" x14ac:dyDescent="0.25">
      <c r="B881" s="95"/>
      <c r="C881" s="95"/>
      <c r="D881" s="95"/>
      <c r="E881" s="95"/>
      <c r="G881" s="95"/>
    </row>
    <row r="882" spans="2:7" ht="51.75" customHeight="1" x14ac:dyDescent="0.25"/>
    <row r="883" spans="2:7" x14ac:dyDescent="0.25">
      <c r="B883" s="95"/>
      <c r="C883" s="95"/>
      <c r="D883" s="95"/>
      <c r="E883" s="95"/>
      <c r="G883" s="95"/>
    </row>
    <row r="885" spans="2:7" x14ac:dyDescent="0.25">
      <c r="B885" s="95"/>
      <c r="C885" s="95"/>
      <c r="D885" s="95"/>
      <c r="E885" s="95"/>
      <c r="G885" s="95"/>
    </row>
    <row r="887" spans="2:7" ht="50.25" customHeight="1" x14ac:dyDescent="0.25">
      <c r="B887" s="95"/>
      <c r="C887" s="95"/>
      <c r="D887" s="95"/>
      <c r="E887" s="95"/>
      <c r="G887" s="95"/>
    </row>
    <row r="888" spans="2:7" x14ac:dyDescent="0.25">
      <c r="B888" s="95"/>
      <c r="C888" s="95"/>
      <c r="D888" s="95"/>
      <c r="E888" s="95"/>
      <c r="F888" s="93"/>
      <c r="G888" s="95"/>
    </row>
    <row r="889" spans="2:7" ht="32.25" customHeight="1" x14ac:dyDescent="0.25"/>
    <row r="890" spans="2:7" x14ac:dyDescent="0.25">
      <c r="B890" s="95"/>
      <c r="C890" s="95"/>
      <c r="D890" s="95"/>
      <c r="E890" s="95"/>
      <c r="F890" s="93"/>
      <c r="G890" s="95"/>
    </row>
    <row r="891" spans="2:7" x14ac:dyDescent="0.25">
      <c r="B891" s="95"/>
      <c r="C891" s="95"/>
      <c r="D891" s="95"/>
      <c r="E891" s="95"/>
      <c r="G891" s="95"/>
    </row>
    <row r="892" spans="2:7" ht="53.25" customHeight="1" x14ac:dyDescent="0.25">
      <c r="B892" s="95"/>
      <c r="C892" s="95"/>
      <c r="D892" s="95"/>
      <c r="E892" s="95"/>
      <c r="F892" s="93"/>
      <c r="G892" s="95"/>
    </row>
    <row r="894" spans="2:7" ht="66" customHeight="1" x14ac:dyDescent="0.25">
      <c r="B894" s="95"/>
      <c r="C894" s="95"/>
      <c r="D894" s="95"/>
      <c r="E894" s="95"/>
      <c r="F894" s="93"/>
      <c r="G894" s="95"/>
    </row>
    <row r="895" spans="2:7" ht="51" customHeight="1" x14ac:dyDescent="0.25">
      <c r="B895" s="95"/>
      <c r="C895" s="95"/>
      <c r="D895" s="95"/>
      <c r="E895" s="95"/>
      <c r="F895" s="93"/>
      <c r="G895" s="95"/>
    </row>
    <row r="897" spans="2:7" x14ac:dyDescent="0.25">
      <c r="B897" s="95"/>
      <c r="C897" s="95"/>
      <c r="D897" s="95"/>
      <c r="E897" s="95"/>
      <c r="F897" s="93"/>
      <c r="G897" s="95"/>
    </row>
    <row r="898" spans="2:7" x14ac:dyDescent="0.25">
      <c r="B898" s="95"/>
      <c r="C898" s="95"/>
      <c r="D898" s="95"/>
      <c r="E898" s="95"/>
      <c r="F898" s="93"/>
      <c r="G898" s="95"/>
    </row>
    <row r="905" spans="2:7" x14ac:dyDescent="0.25">
      <c r="B905" s="95"/>
      <c r="C905" s="95"/>
      <c r="D905" s="95"/>
      <c r="E905" s="95"/>
      <c r="F905" s="93"/>
      <c r="G905" s="95"/>
    </row>
    <row r="907" spans="2:7" ht="115.5" customHeight="1" x14ac:dyDescent="0.25">
      <c r="B907" s="95"/>
      <c r="C907" s="95"/>
      <c r="D907" s="95"/>
      <c r="E907" s="95"/>
      <c r="G907" s="95"/>
    </row>
    <row r="908" spans="2:7" x14ac:dyDescent="0.25">
      <c r="B908" s="95"/>
      <c r="C908" s="95"/>
      <c r="D908" s="95"/>
      <c r="E908" s="95"/>
      <c r="G908" s="95"/>
    </row>
    <row r="909" spans="2:7" ht="131.25" customHeight="1" x14ac:dyDescent="0.25">
      <c r="B909" s="95"/>
      <c r="C909" s="95"/>
      <c r="D909" s="95"/>
      <c r="E909" s="95"/>
      <c r="G909" s="95"/>
    </row>
    <row r="910" spans="2:7" x14ac:dyDescent="0.25">
      <c r="B910" s="95"/>
      <c r="C910" s="95"/>
      <c r="D910" s="95"/>
      <c r="E910" s="95"/>
      <c r="G910" s="95"/>
    </row>
    <row r="911" spans="2:7" ht="38.25" customHeight="1" x14ac:dyDescent="0.25"/>
    <row r="913" spans="2:7" ht="78" customHeight="1" x14ac:dyDescent="0.25"/>
    <row r="914" spans="2:7" ht="22.5" customHeight="1" x14ac:dyDescent="0.25">
      <c r="B914" s="95"/>
      <c r="C914" s="95"/>
      <c r="D914" s="95"/>
      <c r="E914" s="95"/>
      <c r="F914" s="93"/>
      <c r="G914" s="95"/>
    </row>
    <row r="915" spans="2:7" x14ac:dyDescent="0.25">
      <c r="B915" s="95"/>
      <c r="C915" s="95"/>
      <c r="D915" s="95"/>
      <c r="E915" s="95"/>
      <c r="F915" s="93"/>
      <c r="G915" s="95"/>
    </row>
    <row r="916" spans="2:7" ht="24" customHeight="1" x14ac:dyDescent="0.25">
      <c r="B916" s="95"/>
      <c r="C916" s="95"/>
      <c r="D916" s="95"/>
      <c r="E916" s="95"/>
      <c r="F916" s="93"/>
      <c r="G916" s="95"/>
    </row>
    <row r="917" spans="2:7" ht="66" customHeight="1" x14ac:dyDescent="0.25">
      <c r="B917" s="95"/>
      <c r="C917" s="95"/>
      <c r="D917" s="95"/>
      <c r="E917" s="95"/>
      <c r="F917" s="93"/>
      <c r="G917" s="95"/>
    </row>
    <row r="921" spans="2:7" x14ac:dyDescent="0.25">
      <c r="B921" s="95"/>
      <c r="C921" s="95"/>
      <c r="D921" s="95"/>
      <c r="E921" s="95"/>
      <c r="F921" s="93"/>
      <c r="G921" s="95"/>
    </row>
    <row r="922" spans="2:7" x14ac:dyDescent="0.25">
      <c r="B922" s="95"/>
      <c r="C922" s="95"/>
      <c r="D922" s="95"/>
      <c r="E922" s="95"/>
      <c r="F922" s="93"/>
      <c r="G922" s="95"/>
    </row>
    <row r="924" spans="2:7" ht="18" customHeight="1" x14ac:dyDescent="0.25"/>
    <row r="925" spans="2:7" x14ac:dyDescent="0.25">
      <c r="B925" s="95"/>
      <c r="C925" s="95"/>
      <c r="D925" s="95"/>
      <c r="E925" s="95"/>
      <c r="G925" s="95"/>
    </row>
    <row r="932" spans="2:7" x14ac:dyDescent="0.25">
      <c r="B932" s="95"/>
      <c r="C932" s="95"/>
      <c r="D932" s="95"/>
      <c r="E932" s="95"/>
      <c r="F932" s="93"/>
      <c r="G932" s="95"/>
    </row>
    <row r="933" spans="2:7" ht="22.5" customHeight="1" x14ac:dyDescent="0.25"/>
    <row r="934" spans="2:7" ht="48" customHeight="1" x14ac:dyDescent="0.25"/>
    <row r="935" spans="2:7" ht="21" customHeight="1" x14ac:dyDescent="0.25">
      <c r="B935" s="95"/>
      <c r="C935" s="95"/>
      <c r="D935" s="95"/>
      <c r="E935" s="95"/>
      <c r="G935" s="95"/>
    </row>
    <row r="936" spans="2:7" ht="51" customHeight="1" x14ac:dyDescent="0.25"/>
    <row r="939" spans="2:7" x14ac:dyDescent="0.25">
      <c r="B939" s="95"/>
      <c r="C939" s="95"/>
      <c r="D939" s="95"/>
      <c r="E939" s="95"/>
      <c r="G939" s="95"/>
    </row>
    <row r="940" spans="2:7" ht="28.5" customHeight="1" x14ac:dyDescent="0.25"/>
    <row r="941" spans="2:7" ht="23.25" customHeight="1" x14ac:dyDescent="0.25"/>
    <row r="942" spans="2:7" x14ac:dyDescent="0.25">
      <c r="B942" s="95"/>
      <c r="C942" s="95"/>
      <c r="D942" s="95"/>
      <c r="E942" s="95"/>
      <c r="F942" s="93"/>
      <c r="G942" s="95"/>
    </row>
    <row r="943" spans="2:7" x14ac:dyDescent="0.25">
      <c r="B943" s="95"/>
      <c r="C943" s="95"/>
      <c r="D943" s="95"/>
      <c r="E943" s="95"/>
      <c r="G943" s="95"/>
    </row>
    <row r="946" spans="2:7" x14ac:dyDescent="0.25">
      <c r="B946" s="95"/>
      <c r="C946" s="95"/>
      <c r="D946" s="95"/>
      <c r="E946" s="95"/>
      <c r="F946" s="93"/>
      <c r="G946" s="95"/>
    </row>
    <row r="948" spans="2:7" x14ac:dyDescent="0.25">
      <c r="B948" s="95"/>
      <c r="C948" s="95"/>
      <c r="D948" s="95"/>
      <c r="E948" s="95"/>
      <c r="G948" s="95"/>
    </row>
    <row r="950" spans="2:7" x14ac:dyDescent="0.25">
      <c r="B950" s="95"/>
      <c r="C950" s="95"/>
      <c r="D950" s="95"/>
      <c r="E950" s="95"/>
      <c r="F950" s="93"/>
      <c r="G950" s="95"/>
    </row>
    <row r="951" spans="2:7" ht="27" customHeight="1" x14ac:dyDescent="0.25"/>
    <row r="953" spans="2:7" x14ac:dyDescent="0.25">
      <c r="B953" s="95"/>
      <c r="C953" s="95"/>
      <c r="D953" s="95"/>
      <c r="E953" s="95"/>
      <c r="G953" s="95"/>
    </row>
    <row r="955" spans="2:7" x14ac:dyDescent="0.25">
      <c r="B955" s="95"/>
      <c r="C955" s="95"/>
      <c r="D955" s="95"/>
      <c r="E955" s="95"/>
      <c r="F955" s="93"/>
      <c r="G955" s="95"/>
    </row>
    <row r="958" spans="2:7" x14ac:dyDescent="0.25">
      <c r="B958" s="95"/>
      <c r="C958" s="95"/>
      <c r="D958" s="95"/>
      <c r="E958" s="95"/>
      <c r="G958" s="95"/>
    </row>
    <row r="960" spans="2:7" x14ac:dyDescent="0.25">
      <c r="B960" s="95"/>
      <c r="C960" s="95"/>
      <c r="D960" s="95"/>
      <c r="E960" s="95"/>
      <c r="F960" s="93"/>
      <c r="G960" s="95"/>
    </row>
    <row r="961" spans="2:7" ht="53.25" customHeight="1" x14ac:dyDescent="0.25">
      <c r="B961" s="95"/>
      <c r="C961" s="95"/>
      <c r="D961" s="95"/>
      <c r="E961" s="95"/>
      <c r="G961" s="95"/>
    </row>
    <row r="963" spans="2:7" x14ac:dyDescent="0.25">
      <c r="B963" s="95"/>
      <c r="C963" s="95"/>
      <c r="D963" s="95"/>
      <c r="E963" s="95"/>
      <c r="G963" s="95"/>
    </row>
    <row r="965" spans="2:7" ht="48" customHeight="1" x14ac:dyDescent="0.25">
      <c r="B965" s="95"/>
      <c r="C965" s="95"/>
      <c r="D965" s="95"/>
      <c r="E965" s="95"/>
      <c r="F965" s="93"/>
      <c r="G965" s="95"/>
    </row>
    <row r="966" spans="2:7" x14ac:dyDescent="0.25">
      <c r="B966" s="95"/>
      <c r="C966" s="95"/>
      <c r="D966" s="95"/>
      <c r="E966" s="95"/>
      <c r="G966" s="95"/>
    </row>
    <row r="967" spans="2:7" x14ac:dyDescent="0.25">
      <c r="B967" s="95"/>
      <c r="C967" s="95"/>
      <c r="D967" s="95"/>
      <c r="E967" s="95"/>
      <c r="G967" s="95"/>
    </row>
    <row r="968" spans="2:7" x14ac:dyDescent="0.25">
      <c r="B968" s="95"/>
      <c r="C968" s="95"/>
      <c r="D968" s="95"/>
      <c r="E968" s="95"/>
      <c r="F968" s="93"/>
      <c r="G968" s="95"/>
    </row>
    <row r="969" spans="2:7" ht="19.5" customHeight="1" x14ac:dyDescent="0.25"/>
    <row r="970" spans="2:7" x14ac:dyDescent="0.25">
      <c r="B970" s="95"/>
      <c r="C970" s="95"/>
      <c r="D970" s="95"/>
      <c r="E970" s="95"/>
      <c r="F970" s="93"/>
      <c r="G970" s="95"/>
    </row>
    <row r="973" spans="2:7" x14ac:dyDescent="0.25">
      <c r="B973" s="95"/>
      <c r="C973" s="95"/>
      <c r="D973" s="95"/>
      <c r="E973" s="95"/>
      <c r="F973" s="93"/>
      <c r="G973" s="95"/>
    </row>
    <row r="974" spans="2:7" ht="50.25" customHeight="1" x14ac:dyDescent="0.25">
      <c r="B974" s="95"/>
      <c r="C974" s="95"/>
      <c r="D974" s="95"/>
      <c r="E974" s="95"/>
      <c r="F974" s="93"/>
      <c r="G974" s="95"/>
    </row>
    <row r="975" spans="2:7" x14ac:dyDescent="0.25">
      <c r="B975" s="95"/>
      <c r="C975" s="95"/>
      <c r="D975" s="95"/>
      <c r="E975" s="95"/>
      <c r="G975" s="95"/>
    </row>
    <row r="979" spans="2:7" ht="48.75" customHeight="1" x14ac:dyDescent="0.25">
      <c r="B979" s="95"/>
      <c r="C979" s="95"/>
      <c r="D979" s="95"/>
      <c r="E979" s="95"/>
      <c r="G979" s="95"/>
    </row>
    <row r="982" spans="2:7" x14ac:dyDescent="0.25">
      <c r="B982" s="95"/>
      <c r="C982" s="95"/>
      <c r="D982" s="95"/>
      <c r="E982" s="95"/>
      <c r="F982" s="93"/>
      <c r="G982" s="95"/>
    </row>
    <row r="984" spans="2:7" ht="54.75" customHeight="1" x14ac:dyDescent="0.25"/>
    <row r="986" spans="2:7" x14ac:dyDescent="0.25">
      <c r="B986" s="95"/>
      <c r="C986" s="95"/>
      <c r="D986" s="95"/>
      <c r="E986" s="95"/>
      <c r="F986" s="93"/>
      <c r="G986" s="95"/>
    </row>
    <row r="987" spans="2:7" ht="36.75" customHeight="1" x14ac:dyDescent="0.25">
      <c r="B987" s="95"/>
      <c r="C987" s="95"/>
      <c r="D987" s="95"/>
      <c r="E987" s="95"/>
      <c r="G987" s="95"/>
    </row>
    <row r="989" spans="2:7" ht="49.5" customHeight="1" x14ac:dyDescent="0.25">
      <c r="B989" s="95"/>
      <c r="C989" s="95"/>
      <c r="D989" s="95"/>
      <c r="E989" s="95"/>
      <c r="G989" s="95"/>
    </row>
    <row r="990" spans="2:7" x14ac:dyDescent="0.25">
      <c r="B990" s="95"/>
      <c r="C990" s="95"/>
      <c r="D990" s="95"/>
      <c r="E990" s="95"/>
      <c r="G990" s="95"/>
    </row>
    <row r="991" spans="2:7" x14ac:dyDescent="0.25">
      <c r="B991" s="95"/>
      <c r="C991" s="95"/>
      <c r="D991" s="95"/>
      <c r="E991" s="95"/>
      <c r="G991" s="95"/>
    </row>
    <row r="992" spans="2:7" ht="32.25" customHeight="1" x14ac:dyDescent="0.25">
      <c r="B992" s="95"/>
      <c r="C992" s="95"/>
      <c r="D992" s="95"/>
      <c r="E992" s="95"/>
      <c r="G992" s="95"/>
    </row>
    <row r="993" spans="2:7" ht="51" customHeight="1" x14ac:dyDescent="0.25"/>
    <row r="994" spans="2:7" x14ac:dyDescent="0.25">
      <c r="B994" s="95"/>
      <c r="C994" s="95"/>
      <c r="D994" s="95"/>
      <c r="E994" s="95"/>
      <c r="F994" s="93"/>
      <c r="G994" s="95"/>
    </row>
    <row r="996" spans="2:7" x14ac:dyDescent="0.25">
      <c r="B996" s="95"/>
      <c r="C996" s="95"/>
      <c r="D996" s="95"/>
      <c r="E996" s="95"/>
      <c r="F996" s="93"/>
      <c r="G996" s="95"/>
    </row>
    <row r="997" spans="2:7" x14ac:dyDescent="0.25">
      <c r="B997" s="95"/>
      <c r="C997" s="95"/>
      <c r="D997" s="95"/>
      <c r="E997" s="95"/>
      <c r="F997" s="93"/>
      <c r="G997" s="95"/>
    </row>
    <row r="998" spans="2:7" x14ac:dyDescent="0.25">
      <c r="B998" s="95"/>
      <c r="C998" s="95"/>
      <c r="D998" s="95"/>
      <c r="E998" s="95"/>
      <c r="F998" s="93"/>
      <c r="G998" s="95"/>
    </row>
    <row r="999" spans="2:7" x14ac:dyDescent="0.25">
      <c r="B999" s="95"/>
      <c r="C999" s="95"/>
      <c r="D999" s="95"/>
      <c r="E999" s="95"/>
      <c r="F999" s="93"/>
      <c r="G999" s="95"/>
    </row>
    <row r="1001" spans="2:7" ht="50.25" customHeight="1" x14ac:dyDescent="0.25">
      <c r="B1001" s="95"/>
      <c r="C1001" s="95"/>
      <c r="D1001" s="95"/>
      <c r="E1001" s="95"/>
      <c r="F1001" s="93"/>
      <c r="G1001" s="95"/>
    </row>
    <row r="1003" spans="2:7" x14ac:dyDescent="0.25">
      <c r="B1003" s="95"/>
      <c r="C1003" s="95"/>
      <c r="D1003" s="95"/>
      <c r="E1003" s="95"/>
      <c r="F1003" s="93"/>
      <c r="G1003" s="95"/>
    </row>
    <row r="1004" spans="2:7" x14ac:dyDescent="0.25">
      <c r="B1004" s="95"/>
      <c r="C1004" s="95"/>
      <c r="D1004" s="95"/>
      <c r="E1004" s="95"/>
      <c r="F1004" s="93"/>
      <c r="G1004" s="95"/>
    </row>
    <row r="1005" spans="2:7" ht="36" customHeight="1" x14ac:dyDescent="0.25">
      <c r="B1005" s="95"/>
      <c r="C1005" s="95"/>
      <c r="D1005" s="95"/>
      <c r="E1005" s="95"/>
      <c r="G1005" s="95"/>
    </row>
    <row r="1006" spans="2:7" x14ac:dyDescent="0.25">
      <c r="B1006" s="95"/>
      <c r="C1006" s="95"/>
      <c r="D1006" s="95"/>
      <c r="E1006" s="95"/>
      <c r="F1006" s="93"/>
      <c r="G1006" s="95"/>
    </row>
    <row r="1007" spans="2:7" x14ac:dyDescent="0.25">
      <c r="B1007" s="95"/>
      <c r="C1007" s="95"/>
      <c r="D1007" s="95"/>
      <c r="E1007" s="95"/>
      <c r="G1007" s="95"/>
    </row>
    <row r="1010" spans="2:7" x14ac:dyDescent="0.25">
      <c r="B1010" s="95"/>
      <c r="C1010" s="95"/>
      <c r="D1010" s="95"/>
      <c r="E1010" s="95"/>
      <c r="G1010" s="95"/>
    </row>
    <row r="1011" spans="2:7" x14ac:dyDescent="0.25">
      <c r="B1011" s="95"/>
      <c r="C1011" s="95"/>
      <c r="D1011" s="95"/>
      <c r="E1011" s="95"/>
      <c r="G1011" s="95"/>
    </row>
    <row r="1012" spans="2:7" x14ac:dyDescent="0.25">
      <c r="B1012" s="95"/>
      <c r="C1012" s="95"/>
      <c r="D1012" s="95"/>
      <c r="E1012" s="95"/>
      <c r="F1012" s="93"/>
      <c r="G1012" s="95"/>
    </row>
    <row r="1013" spans="2:7" ht="24" customHeight="1" x14ac:dyDescent="0.25">
      <c r="B1013" s="95"/>
      <c r="C1013" s="95"/>
      <c r="D1013" s="95"/>
      <c r="E1013" s="95"/>
      <c r="G1013" s="95"/>
    </row>
    <row r="1014" spans="2:7" x14ac:dyDescent="0.25">
      <c r="B1014" s="95"/>
      <c r="C1014" s="95"/>
      <c r="D1014" s="95"/>
      <c r="E1014" s="95"/>
      <c r="F1014" s="93"/>
      <c r="G1014" s="95"/>
    </row>
    <row r="1015" spans="2:7" ht="113.25" customHeight="1" x14ac:dyDescent="0.25">
      <c r="B1015" s="95"/>
      <c r="C1015" s="95"/>
      <c r="D1015" s="95"/>
      <c r="E1015" s="95"/>
      <c r="G1015" s="95"/>
    </row>
    <row r="1016" spans="2:7" ht="27.75" customHeight="1" x14ac:dyDescent="0.25"/>
    <row r="1017" spans="2:7" ht="51.75" customHeight="1" x14ac:dyDescent="0.25">
      <c r="B1017" s="95"/>
      <c r="C1017" s="95"/>
      <c r="D1017" s="95"/>
      <c r="E1017" s="95"/>
      <c r="F1017" s="93"/>
      <c r="G1017" s="95"/>
    </row>
    <row r="1018" spans="2:7" ht="47.25" customHeight="1" x14ac:dyDescent="0.25">
      <c r="B1018" s="95"/>
      <c r="C1018" s="95"/>
      <c r="D1018" s="95"/>
      <c r="E1018" s="95"/>
      <c r="F1018" s="93"/>
      <c r="G1018" s="95"/>
    </row>
    <row r="1019" spans="2:7" x14ac:dyDescent="0.25">
      <c r="B1019" s="95"/>
      <c r="C1019" s="95"/>
      <c r="D1019" s="95"/>
      <c r="E1019" s="95"/>
      <c r="F1019" s="93"/>
      <c r="G1019" s="95"/>
    </row>
    <row r="1020" spans="2:7" ht="37.5" customHeight="1" x14ac:dyDescent="0.25">
      <c r="B1020" s="95"/>
      <c r="C1020" s="95"/>
      <c r="D1020" s="95"/>
      <c r="E1020" s="95"/>
      <c r="F1020" s="93"/>
      <c r="G1020" s="95"/>
    </row>
    <row r="1021" spans="2:7" x14ac:dyDescent="0.25">
      <c r="B1021" s="95"/>
      <c r="C1021" s="95"/>
      <c r="D1021" s="95"/>
      <c r="E1021" s="95"/>
      <c r="F1021" s="93"/>
      <c r="G1021" s="95"/>
    </row>
    <row r="1022" spans="2:7" ht="50.25" customHeight="1" x14ac:dyDescent="0.25">
      <c r="B1022" s="95"/>
      <c r="C1022" s="95"/>
      <c r="D1022" s="95"/>
      <c r="E1022" s="95"/>
      <c r="F1022" s="93"/>
      <c r="G1022" s="95"/>
    </row>
    <row r="1023" spans="2:7" ht="48" customHeight="1" x14ac:dyDescent="0.25"/>
    <row r="1024" spans="2:7" x14ac:dyDescent="0.25">
      <c r="B1024" s="95"/>
      <c r="C1024" s="95"/>
      <c r="D1024" s="95"/>
      <c r="E1024" s="95"/>
      <c r="F1024" s="93"/>
      <c r="G1024" s="95"/>
    </row>
    <row r="1025" spans="2:7" ht="34.5" customHeight="1" x14ac:dyDescent="0.25"/>
    <row r="1026" spans="2:7" x14ac:dyDescent="0.25">
      <c r="B1026" s="95"/>
      <c r="C1026" s="95"/>
      <c r="D1026" s="95"/>
      <c r="E1026" s="95"/>
      <c r="F1026" s="93"/>
      <c r="G1026" s="95"/>
    </row>
    <row r="1027" spans="2:7" x14ac:dyDescent="0.25">
      <c r="B1027" s="95"/>
      <c r="C1027" s="95"/>
      <c r="D1027" s="95"/>
      <c r="E1027" s="95"/>
      <c r="F1027" s="93"/>
      <c r="G1027" s="95"/>
    </row>
    <row r="1028" spans="2:7" x14ac:dyDescent="0.25">
      <c r="B1028" s="95"/>
      <c r="C1028" s="95"/>
      <c r="D1028" s="95"/>
      <c r="E1028" s="95"/>
      <c r="G1028" s="95"/>
    </row>
    <row r="1029" spans="2:7" x14ac:dyDescent="0.25">
      <c r="B1029" s="95"/>
      <c r="C1029" s="95"/>
      <c r="D1029" s="95"/>
      <c r="E1029" s="95"/>
      <c r="F1029" s="93"/>
      <c r="G1029" s="95"/>
    </row>
    <row r="1031" spans="2:7" ht="53.25" customHeight="1" x14ac:dyDescent="0.25"/>
    <row r="1032" spans="2:7" x14ac:dyDescent="0.25">
      <c r="B1032" s="95"/>
      <c r="C1032" s="95"/>
      <c r="D1032" s="95"/>
      <c r="E1032" s="95"/>
      <c r="G1032" s="95"/>
    </row>
    <row r="1033" spans="2:7" ht="36.75" customHeight="1" x14ac:dyDescent="0.25"/>
    <row r="1035" spans="2:7" x14ac:dyDescent="0.25">
      <c r="B1035" s="95"/>
      <c r="C1035" s="95"/>
      <c r="D1035" s="95"/>
      <c r="E1035" s="95"/>
      <c r="F1035" s="93"/>
      <c r="G1035" s="95"/>
    </row>
    <row r="1036" spans="2:7" ht="53.25" customHeight="1" x14ac:dyDescent="0.25"/>
    <row r="1037" spans="2:7" ht="38.25" customHeight="1" x14ac:dyDescent="0.25"/>
    <row r="1038" spans="2:7" ht="112.5" customHeight="1" x14ac:dyDescent="0.25"/>
    <row r="1039" spans="2:7" ht="24" customHeight="1" x14ac:dyDescent="0.25">
      <c r="B1039" s="95"/>
      <c r="C1039" s="95"/>
      <c r="D1039" s="95"/>
      <c r="E1039" s="95"/>
      <c r="F1039" s="93"/>
      <c r="G1039" s="95"/>
    </row>
    <row r="1040" spans="2:7" ht="52.5" customHeight="1" x14ac:dyDescent="0.25">
      <c r="B1040" s="95"/>
      <c r="C1040" s="95"/>
      <c r="D1040" s="95"/>
      <c r="E1040" s="95"/>
      <c r="G1040" s="95"/>
    </row>
    <row r="1041" spans="2:7" ht="51" customHeight="1" x14ac:dyDescent="0.25"/>
    <row r="1043" spans="2:7" ht="33" customHeight="1" x14ac:dyDescent="0.25"/>
    <row r="1045" spans="2:7" ht="47.25" customHeight="1" x14ac:dyDescent="0.25"/>
    <row r="1046" spans="2:7" ht="54.75" customHeight="1" x14ac:dyDescent="0.25">
      <c r="B1046" s="95"/>
      <c r="C1046" s="95"/>
      <c r="D1046" s="95"/>
      <c r="E1046" s="95"/>
      <c r="F1046" s="93"/>
      <c r="G1046" s="95"/>
    </row>
    <row r="1047" spans="2:7" x14ac:dyDescent="0.25">
      <c r="B1047" s="95"/>
      <c r="C1047" s="95"/>
      <c r="D1047" s="95"/>
      <c r="E1047" s="95"/>
      <c r="F1047" s="93"/>
      <c r="G1047" s="95"/>
    </row>
    <row r="1048" spans="2:7" ht="42.75" customHeight="1" x14ac:dyDescent="0.25"/>
    <row r="1049" spans="2:7" x14ac:dyDescent="0.25">
      <c r="B1049" s="95"/>
      <c r="C1049" s="95"/>
      <c r="D1049" s="95"/>
      <c r="E1049" s="95"/>
      <c r="G1049" s="95"/>
    </row>
    <row r="1051" spans="2:7" x14ac:dyDescent="0.25">
      <c r="B1051" s="95"/>
      <c r="C1051" s="95"/>
      <c r="D1051" s="95"/>
      <c r="E1051" s="95"/>
      <c r="G1051" s="95"/>
    </row>
    <row r="1052" spans="2:7" x14ac:dyDescent="0.25">
      <c r="B1052" s="95"/>
      <c r="C1052" s="95"/>
      <c r="D1052" s="95"/>
      <c r="E1052" s="95"/>
      <c r="G1052" s="95"/>
    </row>
    <row r="1054" spans="2:7" ht="50.25" customHeight="1" x14ac:dyDescent="0.25">
      <c r="B1054" s="95"/>
      <c r="C1054" s="95"/>
      <c r="D1054" s="95"/>
      <c r="E1054" s="95"/>
      <c r="F1054" s="93"/>
      <c r="G1054" s="95"/>
    </row>
    <row r="1056" spans="2:7" x14ac:dyDescent="0.25">
      <c r="B1056" s="95"/>
      <c r="C1056" s="95"/>
      <c r="D1056" s="95"/>
      <c r="E1056" s="95"/>
      <c r="F1056" s="93"/>
      <c r="G1056" s="95"/>
    </row>
    <row r="1058" spans="2:7" ht="52.5" customHeight="1" x14ac:dyDescent="0.25">
      <c r="B1058" s="95"/>
      <c r="C1058" s="95"/>
      <c r="D1058" s="95"/>
      <c r="E1058" s="95"/>
      <c r="F1058" s="93"/>
      <c r="G1058" s="95"/>
    </row>
    <row r="1059" spans="2:7" x14ac:dyDescent="0.25">
      <c r="B1059" s="95"/>
      <c r="C1059" s="95"/>
      <c r="D1059" s="95"/>
      <c r="E1059" s="95"/>
      <c r="F1059" s="93"/>
      <c r="G1059" s="95"/>
    </row>
    <row r="1062" spans="2:7" x14ac:dyDescent="0.25">
      <c r="B1062" s="95"/>
      <c r="C1062" s="95"/>
      <c r="D1062" s="95"/>
      <c r="E1062" s="95"/>
      <c r="G1062" s="95"/>
    </row>
    <row r="1065" spans="2:7" ht="79.5" customHeight="1" x14ac:dyDescent="0.25">
      <c r="B1065" s="95"/>
      <c r="C1065" s="95"/>
      <c r="D1065" s="95"/>
      <c r="E1065" s="95"/>
      <c r="F1065" s="93"/>
      <c r="G1065" s="95"/>
    </row>
    <row r="1066" spans="2:7" ht="27.75" customHeight="1" x14ac:dyDescent="0.25"/>
    <row r="1068" spans="2:7" x14ac:dyDescent="0.25">
      <c r="B1068" s="95"/>
      <c r="C1068" s="95"/>
      <c r="D1068" s="95"/>
      <c r="E1068" s="95"/>
      <c r="G1068" s="95"/>
    </row>
    <row r="1069" spans="2:7" x14ac:dyDescent="0.25">
      <c r="B1069" s="95"/>
      <c r="C1069" s="95"/>
      <c r="D1069" s="95"/>
      <c r="E1069" s="95"/>
      <c r="F1069" s="93"/>
      <c r="G1069" s="95"/>
    </row>
    <row r="1071" spans="2:7" x14ac:dyDescent="0.25">
      <c r="B1071" s="95"/>
      <c r="C1071" s="95"/>
      <c r="D1071" s="95"/>
      <c r="E1071" s="95"/>
      <c r="G1071" s="95"/>
    </row>
    <row r="1073" spans="2:7" ht="53.25" customHeight="1" x14ac:dyDescent="0.25">
      <c r="B1073" s="95"/>
      <c r="C1073" s="95"/>
      <c r="D1073" s="95"/>
      <c r="E1073" s="95"/>
      <c r="G1073" s="95"/>
    </row>
    <row r="1075" spans="2:7" ht="42.75" customHeight="1" x14ac:dyDescent="0.25">
      <c r="B1075" s="95"/>
      <c r="C1075" s="95"/>
      <c r="D1075" s="95"/>
      <c r="E1075" s="95"/>
      <c r="F1075" s="93"/>
      <c r="G1075" s="95"/>
    </row>
    <row r="1076" spans="2:7" x14ac:dyDescent="0.25">
      <c r="B1076" s="95"/>
      <c r="C1076" s="95"/>
      <c r="D1076" s="95"/>
      <c r="E1076" s="95"/>
      <c r="F1076" s="93"/>
      <c r="G1076" s="95"/>
    </row>
    <row r="1077" spans="2:7" ht="113.25" customHeight="1" x14ac:dyDescent="0.25"/>
    <row r="1078" spans="2:7" ht="18.75" customHeight="1" x14ac:dyDescent="0.25">
      <c r="B1078" s="95"/>
      <c r="C1078" s="95"/>
      <c r="D1078" s="95"/>
      <c r="E1078" s="95"/>
      <c r="F1078" s="93"/>
      <c r="G1078" s="95"/>
    </row>
    <row r="1079" spans="2:7" x14ac:dyDescent="0.25">
      <c r="B1079" s="95"/>
      <c r="C1079" s="95"/>
      <c r="D1079" s="95"/>
      <c r="E1079" s="95"/>
      <c r="G1079" s="95"/>
    </row>
    <row r="1080" spans="2:7" x14ac:dyDescent="0.25">
      <c r="B1080" s="95"/>
      <c r="C1080" s="95"/>
      <c r="D1080" s="95"/>
      <c r="E1080" s="95"/>
      <c r="F1080" s="93"/>
      <c r="G1080" s="95"/>
    </row>
    <row r="1081" spans="2:7" x14ac:dyDescent="0.25">
      <c r="B1081" s="95"/>
      <c r="C1081" s="95"/>
      <c r="D1081" s="95"/>
      <c r="E1081" s="95"/>
      <c r="G1081" s="95"/>
    </row>
    <row r="1082" spans="2:7" x14ac:dyDescent="0.25">
      <c r="B1082" s="95"/>
      <c r="C1082" s="95"/>
      <c r="D1082" s="95"/>
      <c r="E1082" s="95"/>
      <c r="F1082" s="93"/>
      <c r="G1082" s="95"/>
    </row>
    <row r="1083" spans="2:7" x14ac:dyDescent="0.25">
      <c r="B1083" s="95"/>
      <c r="C1083" s="95"/>
      <c r="D1083" s="95"/>
      <c r="E1083" s="95"/>
      <c r="F1083" s="93"/>
      <c r="G1083" s="95"/>
    </row>
    <row r="1084" spans="2:7" ht="53.25" customHeight="1" x14ac:dyDescent="0.25"/>
    <row r="1085" spans="2:7" x14ac:dyDescent="0.25">
      <c r="B1085" s="95"/>
      <c r="C1085" s="95"/>
      <c r="D1085" s="95"/>
      <c r="E1085" s="95"/>
      <c r="F1085" s="93"/>
      <c r="G1085" s="95"/>
    </row>
    <row r="1086" spans="2:7" x14ac:dyDescent="0.25">
      <c r="B1086" s="95"/>
      <c r="C1086" s="95"/>
      <c r="D1086" s="95"/>
      <c r="E1086" s="95"/>
      <c r="F1086" s="93"/>
      <c r="G1086" s="95"/>
    </row>
    <row r="1087" spans="2:7" x14ac:dyDescent="0.25">
      <c r="B1087" s="95"/>
      <c r="C1087" s="95"/>
      <c r="D1087" s="95"/>
      <c r="E1087" s="95"/>
      <c r="F1087" s="93"/>
      <c r="G1087" s="95"/>
    </row>
    <row r="1088" spans="2:7" ht="51" customHeight="1" x14ac:dyDescent="0.25">
      <c r="B1088" s="95"/>
      <c r="C1088" s="95"/>
      <c r="D1088" s="95"/>
      <c r="E1088" s="95"/>
      <c r="F1088" s="93"/>
      <c r="G1088" s="95"/>
    </row>
    <row r="1089" spans="2:7" x14ac:dyDescent="0.25">
      <c r="B1089" s="95"/>
      <c r="C1089" s="95"/>
      <c r="D1089" s="95"/>
      <c r="E1089" s="95"/>
      <c r="G1089" s="95"/>
    </row>
    <row r="1091" spans="2:7" x14ac:dyDescent="0.25">
      <c r="B1091" s="95"/>
      <c r="C1091" s="95"/>
      <c r="D1091" s="95"/>
      <c r="E1091" s="95"/>
      <c r="G1091" s="95"/>
    </row>
    <row r="1093" spans="2:7" x14ac:dyDescent="0.25">
      <c r="B1093" s="95"/>
      <c r="C1093" s="95"/>
      <c r="D1093" s="95"/>
      <c r="E1093" s="95"/>
      <c r="F1093" s="93"/>
      <c r="G1093" s="95"/>
    </row>
    <row r="1094" spans="2:7" ht="27" customHeight="1" x14ac:dyDescent="0.25"/>
    <row r="1095" spans="2:7" ht="17.25" customHeight="1" x14ac:dyDescent="0.25">
      <c r="B1095" s="95"/>
      <c r="C1095" s="95"/>
      <c r="D1095" s="95"/>
      <c r="E1095" s="95"/>
      <c r="G1095" s="95"/>
    </row>
    <row r="1096" spans="2:7" x14ac:dyDescent="0.25">
      <c r="B1096" s="95"/>
      <c r="C1096" s="95"/>
      <c r="D1096" s="95"/>
      <c r="E1096" s="95"/>
      <c r="F1096" s="93"/>
      <c r="G1096" s="95"/>
    </row>
    <row r="1097" spans="2:7" ht="38.25" customHeight="1" x14ac:dyDescent="0.25"/>
    <row r="1098" spans="2:7" x14ac:dyDescent="0.25">
      <c r="B1098" s="95"/>
      <c r="C1098" s="95"/>
      <c r="D1098" s="95"/>
      <c r="E1098" s="95"/>
      <c r="F1098" s="93"/>
      <c r="G1098" s="95"/>
    </row>
    <row r="1099" spans="2:7" ht="20.25" customHeight="1" x14ac:dyDescent="0.25">
      <c r="B1099" s="95"/>
      <c r="C1099" s="95"/>
      <c r="D1099" s="95"/>
      <c r="E1099" s="95"/>
      <c r="G1099" s="95"/>
    </row>
    <row r="1101" spans="2:7" ht="127.5" customHeight="1" x14ac:dyDescent="0.25"/>
    <row r="1102" spans="2:7" ht="42" customHeight="1" x14ac:dyDescent="0.25">
      <c r="B1102" s="95"/>
      <c r="C1102" s="95"/>
      <c r="D1102" s="95"/>
      <c r="E1102" s="95"/>
      <c r="F1102" s="93"/>
      <c r="G1102" s="95"/>
    </row>
    <row r="1104" spans="2:7" ht="42" customHeight="1" x14ac:dyDescent="0.25"/>
    <row r="1105" spans="2:7" ht="129.75" customHeight="1" x14ac:dyDescent="0.25">
      <c r="B1105" s="95"/>
      <c r="C1105" s="95"/>
      <c r="D1105" s="95"/>
      <c r="E1105" s="95"/>
      <c r="G1105" s="95"/>
    </row>
    <row r="1106" spans="2:7" ht="27" customHeight="1" x14ac:dyDescent="0.25">
      <c r="B1106" s="95"/>
      <c r="C1106" s="95"/>
      <c r="D1106" s="95"/>
      <c r="E1106" s="95"/>
      <c r="F1106" s="93"/>
      <c r="G1106" s="95"/>
    </row>
    <row r="1107" spans="2:7" ht="44.25" customHeight="1" x14ac:dyDescent="0.25">
      <c r="B1107" s="95"/>
      <c r="C1107" s="95"/>
      <c r="D1107" s="95"/>
      <c r="E1107" s="95"/>
      <c r="G1107" s="95"/>
    </row>
    <row r="1112" spans="2:7" ht="33" customHeight="1" x14ac:dyDescent="0.25">
      <c r="B1112" s="95"/>
      <c r="C1112" s="95"/>
      <c r="D1112" s="95"/>
      <c r="E1112" s="95"/>
      <c r="F1112" s="93"/>
      <c r="G1112" s="95"/>
    </row>
    <row r="1113" spans="2:7" x14ac:dyDescent="0.25">
      <c r="B1113" s="95"/>
      <c r="C1113" s="95"/>
      <c r="D1113" s="95"/>
      <c r="E1113" s="95"/>
      <c r="F1113" s="93"/>
      <c r="G1113" s="95"/>
    </row>
    <row r="1114" spans="2:7" x14ac:dyDescent="0.25">
      <c r="B1114" s="95"/>
      <c r="C1114" s="95"/>
      <c r="D1114" s="95"/>
      <c r="E1114" s="95"/>
      <c r="F1114" s="93"/>
      <c r="G1114" s="95"/>
    </row>
    <row r="1115" spans="2:7" ht="22.5" customHeight="1" x14ac:dyDescent="0.25">
      <c r="B1115" s="95"/>
      <c r="C1115" s="95"/>
      <c r="D1115" s="95"/>
      <c r="E1115" s="95"/>
      <c r="G1115" s="95"/>
    </row>
    <row r="1116" spans="2:7" x14ac:dyDescent="0.25">
      <c r="B1116" s="95"/>
      <c r="C1116" s="95"/>
      <c r="D1116" s="95"/>
      <c r="E1116" s="95"/>
      <c r="G1116" s="95"/>
    </row>
    <row r="1117" spans="2:7" ht="57" customHeight="1" x14ac:dyDescent="0.25"/>
    <row r="1120" spans="2:7" x14ac:dyDescent="0.25">
      <c r="B1120" s="95"/>
      <c r="C1120" s="95"/>
      <c r="D1120" s="95"/>
      <c r="E1120" s="95"/>
      <c r="G1120" s="95"/>
    </row>
    <row r="1121" spans="2:7" ht="49.5" customHeight="1" x14ac:dyDescent="0.25">
      <c r="B1121" s="95"/>
      <c r="C1121" s="95"/>
      <c r="D1121" s="95"/>
      <c r="E1121" s="95"/>
      <c r="F1121" s="93"/>
      <c r="G1121" s="95"/>
    </row>
    <row r="1122" spans="2:7" x14ac:dyDescent="0.25">
      <c r="B1122" s="95"/>
      <c r="C1122" s="95"/>
      <c r="D1122" s="95"/>
      <c r="E1122" s="95"/>
      <c r="F1122" s="93"/>
      <c r="G1122" s="95"/>
    </row>
    <row r="1123" spans="2:7" x14ac:dyDescent="0.25">
      <c r="B1123" s="95"/>
      <c r="C1123" s="95"/>
      <c r="D1123" s="95"/>
      <c r="E1123" s="95"/>
      <c r="F1123" s="93"/>
      <c r="G1123" s="95"/>
    </row>
    <row r="1125" spans="2:7" ht="48.75" customHeight="1" x14ac:dyDescent="0.25"/>
    <row r="1126" spans="2:7" x14ac:dyDescent="0.25">
      <c r="B1126" s="95"/>
      <c r="C1126" s="95"/>
      <c r="D1126" s="95"/>
      <c r="E1126" s="95"/>
      <c r="G1126" s="95"/>
    </row>
    <row r="1127" spans="2:7" x14ac:dyDescent="0.25">
      <c r="B1127" s="95"/>
      <c r="C1127" s="95"/>
      <c r="D1127" s="95"/>
      <c r="E1127" s="95"/>
      <c r="F1127" s="93"/>
      <c r="G1127" s="95"/>
    </row>
    <row r="1128" spans="2:7" x14ac:dyDescent="0.25">
      <c r="B1128" s="95"/>
      <c r="C1128" s="95"/>
      <c r="D1128" s="95"/>
      <c r="E1128" s="95"/>
      <c r="F1128" s="93"/>
      <c r="G1128" s="95"/>
    </row>
    <row r="1131" spans="2:7" ht="84" customHeight="1" x14ac:dyDescent="0.25"/>
    <row r="1132" spans="2:7" ht="34.5" customHeight="1" x14ac:dyDescent="0.25"/>
    <row r="1133" spans="2:7" ht="24.75" customHeight="1" x14ac:dyDescent="0.25">
      <c r="B1133" s="95"/>
      <c r="C1133" s="95"/>
      <c r="D1133" s="95"/>
      <c r="E1133" s="95"/>
      <c r="F1133" s="93"/>
      <c r="G1133" s="95"/>
    </row>
    <row r="1135" spans="2:7" x14ac:dyDescent="0.25">
      <c r="B1135" s="95"/>
      <c r="C1135" s="95"/>
      <c r="D1135" s="95"/>
      <c r="E1135" s="95"/>
      <c r="G1135" s="95"/>
    </row>
    <row r="1139" spans="2:7" x14ac:dyDescent="0.25">
      <c r="B1139" s="95"/>
      <c r="C1139" s="95"/>
      <c r="D1139" s="95"/>
      <c r="E1139" s="95"/>
      <c r="G1139" s="95"/>
    </row>
    <row r="1140" spans="2:7" ht="36" customHeight="1" x14ac:dyDescent="0.25"/>
    <row r="1141" spans="2:7" ht="111.75" customHeight="1" x14ac:dyDescent="0.25">
      <c r="B1141" s="95"/>
      <c r="C1141" s="95"/>
      <c r="D1141" s="95"/>
      <c r="E1141" s="95"/>
      <c r="G1141" s="95"/>
    </row>
    <row r="1142" spans="2:7" ht="27.75" customHeight="1" x14ac:dyDescent="0.25">
      <c r="B1142" s="95"/>
      <c r="C1142" s="95"/>
      <c r="D1142" s="95"/>
      <c r="E1142" s="95"/>
      <c r="F1142" s="93"/>
      <c r="G1142" s="95"/>
    </row>
    <row r="1146" spans="2:7" ht="111.75" customHeight="1" x14ac:dyDescent="0.25">
      <c r="B1146" s="95"/>
      <c r="C1146" s="95"/>
      <c r="D1146" s="95"/>
      <c r="E1146" s="95"/>
      <c r="F1146" s="93"/>
      <c r="G1146" s="95"/>
    </row>
    <row r="1147" spans="2:7" ht="42.75" customHeight="1" x14ac:dyDescent="0.25">
      <c r="B1147" s="95"/>
      <c r="C1147" s="95"/>
      <c r="D1147" s="95"/>
      <c r="E1147" s="95"/>
      <c r="G1147" s="95"/>
    </row>
    <row r="1148" spans="2:7" x14ac:dyDescent="0.25">
      <c r="B1148" s="95"/>
      <c r="C1148" s="95"/>
      <c r="D1148" s="95"/>
      <c r="E1148" s="95"/>
      <c r="F1148" s="93"/>
      <c r="G1148" s="95"/>
    </row>
    <row r="1149" spans="2:7" x14ac:dyDescent="0.25">
      <c r="B1149" s="95"/>
      <c r="C1149" s="95"/>
      <c r="D1149" s="95"/>
      <c r="E1149" s="95"/>
      <c r="F1149" s="93"/>
      <c r="G1149" s="95"/>
    </row>
    <row r="1152" spans="2:7" ht="51.75" customHeight="1" x14ac:dyDescent="0.25">
      <c r="B1152" s="95"/>
      <c r="C1152" s="95"/>
      <c r="D1152" s="95"/>
      <c r="E1152" s="95"/>
      <c r="G1152" s="95"/>
    </row>
    <row r="1153" spans="2:7" x14ac:dyDescent="0.25">
      <c r="B1153" s="95"/>
      <c r="C1153" s="95"/>
      <c r="D1153" s="95"/>
      <c r="E1153" s="95"/>
      <c r="G1153" s="95"/>
    </row>
    <row r="1154" spans="2:7" x14ac:dyDescent="0.25">
      <c r="B1154" s="95"/>
      <c r="C1154" s="95"/>
      <c r="D1154" s="95"/>
      <c r="E1154" s="95"/>
      <c r="F1154" s="93"/>
      <c r="G1154" s="95"/>
    </row>
    <row r="1155" spans="2:7" x14ac:dyDescent="0.25">
      <c r="B1155" s="95"/>
      <c r="C1155" s="95"/>
      <c r="D1155" s="95"/>
      <c r="E1155" s="95"/>
      <c r="F1155" s="93"/>
      <c r="G1155" s="95"/>
    </row>
    <row r="1156" spans="2:7" x14ac:dyDescent="0.25">
      <c r="B1156" s="95"/>
      <c r="C1156" s="95"/>
      <c r="D1156" s="95"/>
      <c r="E1156" s="95"/>
      <c r="G1156" s="95"/>
    </row>
    <row r="1157" spans="2:7" x14ac:dyDescent="0.25">
      <c r="B1157" s="95"/>
      <c r="C1157" s="95"/>
      <c r="D1157" s="95"/>
      <c r="E1157" s="95"/>
      <c r="G1157" s="95"/>
    </row>
    <row r="1159" spans="2:7" x14ac:dyDescent="0.25">
      <c r="B1159" s="95"/>
      <c r="C1159" s="95"/>
      <c r="D1159" s="95"/>
      <c r="E1159" s="95"/>
      <c r="F1159" s="93"/>
      <c r="G1159" s="95"/>
    </row>
    <row r="1160" spans="2:7" x14ac:dyDescent="0.25">
      <c r="B1160" s="95"/>
      <c r="C1160" s="95"/>
      <c r="D1160" s="95"/>
      <c r="E1160" s="95"/>
      <c r="F1160" s="93"/>
      <c r="G1160" s="95"/>
    </row>
    <row r="1161" spans="2:7" ht="50.25" customHeight="1" x14ac:dyDescent="0.25">
      <c r="B1161" s="95"/>
      <c r="C1161" s="95"/>
      <c r="D1161" s="95"/>
      <c r="E1161" s="95"/>
      <c r="G1161" s="95"/>
    </row>
    <row r="1163" spans="2:7" x14ac:dyDescent="0.25">
      <c r="B1163" s="95"/>
      <c r="C1163" s="95"/>
      <c r="D1163" s="95"/>
      <c r="E1163" s="95"/>
      <c r="F1163" s="93"/>
      <c r="G1163" s="95"/>
    </row>
    <row r="1164" spans="2:7" x14ac:dyDescent="0.25">
      <c r="B1164" s="95"/>
      <c r="C1164" s="95"/>
      <c r="D1164" s="95"/>
      <c r="E1164" s="95"/>
      <c r="F1164" s="93"/>
      <c r="G1164" s="95"/>
    </row>
    <row r="1165" spans="2:7" ht="51" customHeight="1" x14ac:dyDescent="0.25">
      <c r="B1165" s="95"/>
      <c r="C1165" s="95"/>
      <c r="D1165" s="95"/>
      <c r="E1165" s="95"/>
      <c r="G1165" s="95"/>
    </row>
    <row r="1166" spans="2:7" x14ac:dyDescent="0.25">
      <c r="B1166" s="95"/>
      <c r="C1166" s="95"/>
      <c r="D1166" s="95"/>
      <c r="E1166" s="95"/>
      <c r="F1166" s="93"/>
      <c r="G1166" s="95"/>
    </row>
    <row r="1167" spans="2:7" ht="41.25" customHeight="1" x14ac:dyDescent="0.25">
      <c r="B1167" s="95"/>
      <c r="C1167" s="95"/>
      <c r="D1167" s="95"/>
      <c r="E1167" s="95"/>
      <c r="F1167" s="93"/>
      <c r="G1167" s="95"/>
    </row>
    <row r="1168" spans="2:7" ht="23.25" customHeight="1" x14ac:dyDescent="0.25">
      <c r="B1168" s="95"/>
      <c r="C1168" s="95"/>
      <c r="D1168" s="95"/>
      <c r="E1168" s="95"/>
      <c r="F1168" s="93"/>
      <c r="G1168" s="95"/>
    </row>
    <row r="1169" spans="2:7" x14ac:dyDescent="0.25">
      <c r="B1169" s="95"/>
      <c r="C1169" s="95"/>
      <c r="D1169" s="95"/>
      <c r="E1169" s="95"/>
      <c r="G1169" s="95"/>
    </row>
    <row r="1170" spans="2:7" x14ac:dyDescent="0.25">
      <c r="B1170" s="95"/>
      <c r="C1170" s="95"/>
      <c r="D1170" s="95"/>
      <c r="E1170" s="95"/>
      <c r="F1170" s="93"/>
      <c r="G1170" s="95"/>
    </row>
    <row r="1171" spans="2:7" x14ac:dyDescent="0.25">
      <c r="B1171" s="95"/>
      <c r="C1171" s="95"/>
      <c r="D1171" s="95"/>
      <c r="E1171" s="95"/>
      <c r="F1171" s="93"/>
      <c r="G1171" s="95"/>
    </row>
    <row r="1172" spans="2:7" x14ac:dyDescent="0.25">
      <c r="B1172" s="95"/>
      <c r="C1172" s="95"/>
      <c r="D1172" s="95"/>
      <c r="E1172" s="95"/>
      <c r="F1172" s="93"/>
      <c r="G1172" s="95"/>
    </row>
    <row r="1173" spans="2:7" ht="50.25" customHeight="1" x14ac:dyDescent="0.25"/>
    <row r="1174" spans="2:7" ht="22.5" customHeight="1" x14ac:dyDescent="0.25"/>
    <row r="1176" spans="2:7" x14ac:dyDescent="0.25">
      <c r="F1176" s="93"/>
    </row>
    <row r="1178" spans="2:7" ht="114" customHeight="1" x14ac:dyDescent="0.25">
      <c r="F1178" s="93"/>
    </row>
    <row r="1179" spans="2:7" ht="24.75" customHeight="1" x14ac:dyDescent="0.25">
      <c r="F1179" s="93"/>
    </row>
    <row r="1182" spans="2:7" ht="81.75" customHeight="1" x14ac:dyDescent="0.25"/>
    <row r="1183" spans="2:7" ht="22.5" customHeight="1" x14ac:dyDescent="0.25">
      <c r="B1183" s="95"/>
      <c r="C1183" s="95"/>
      <c r="D1183" s="95"/>
      <c r="E1183" s="95"/>
      <c r="F1183" s="95"/>
      <c r="G1183" s="95"/>
    </row>
    <row r="1185" spans="2:7" ht="28.5" customHeight="1" x14ac:dyDescent="0.25">
      <c r="B1185" s="95"/>
      <c r="C1185" s="95"/>
      <c r="D1185" s="95"/>
      <c r="E1185" s="95"/>
      <c r="F1185" s="95"/>
      <c r="G1185" s="95"/>
    </row>
    <row r="1186" spans="2:7" ht="130.5" customHeight="1" x14ac:dyDescent="0.25">
      <c r="B1186" s="95"/>
      <c r="C1186" s="95"/>
      <c r="D1186" s="95"/>
      <c r="E1186" s="95"/>
      <c r="F1186" s="95"/>
      <c r="G1186" s="95"/>
    </row>
    <row r="1187" spans="2:7" ht="24.75" customHeight="1" x14ac:dyDescent="0.25">
      <c r="B1187" s="95"/>
      <c r="C1187" s="95"/>
      <c r="D1187" s="95"/>
      <c r="E1187" s="95"/>
      <c r="F1187" s="95"/>
      <c r="G1187" s="95"/>
    </row>
    <row r="1189" spans="2:7" ht="24" customHeight="1" x14ac:dyDescent="0.25">
      <c r="B1189" s="95"/>
      <c r="C1189" s="95"/>
      <c r="D1189" s="95"/>
      <c r="E1189" s="95"/>
      <c r="F1189" s="95"/>
      <c r="G1189" s="95"/>
    </row>
    <row r="1190" spans="2:7" ht="80.25" customHeight="1" x14ac:dyDescent="0.25">
      <c r="B1190" s="95"/>
      <c r="C1190" s="95"/>
      <c r="D1190" s="95"/>
      <c r="E1190" s="95"/>
      <c r="F1190" s="95"/>
      <c r="G1190" s="95"/>
    </row>
    <row r="1191" spans="2:7" ht="21.75" customHeight="1" x14ac:dyDescent="0.25">
      <c r="B1191" s="95"/>
      <c r="C1191" s="95"/>
      <c r="D1191" s="95"/>
      <c r="E1191" s="95"/>
      <c r="F1191" s="95"/>
      <c r="G1191" s="95"/>
    </row>
    <row r="1195" spans="2:7" ht="45.75" customHeight="1" x14ac:dyDescent="0.25">
      <c r="B1195" s="95"/>
      <c r="C1195" s="95"/>
      <c r="D1195" s="95"/>
      <c r="E1195" s="95"/>
      <c r="F1195" s="95"/>
      <c r="G1195" s="95"/>
    </row>
    <row r="1197" spans="2:7" ht="51.75" customHeight="1" x14ac:dyDescent="0.25">
      <c r="B1197" s="95"/>
      <c r="C1197" s="95"/>
      <c r="D1197" s="95"/>
      <c r="E1197" s="95"/>
      <c r="F1197" s="95"/>
      <c r="G1197" s="95"/>
    </row>
    <row r="1198" spans="2:7" ht="51.75" customHeight="1" x14ac:dyDescent="0.25">
      <c r="B1198" s="95"/>
      <c r="C1198" s="95"/>
      <c r="D1198" s="95"/>
      <c r="E1198" s="95"/>
      <c r="F1198" s="95"/>
      <c r="G1198" s="95"/>
    </row>
    <row r="1201" spans="1:7" ht="47.25" customHeight="1" x14ac:dyDescent="0.25"/>
    <row r="1202" spans="1:7" ht="52.5" customHeight="1" x14ac:dyDescent="0.25"/>
    <row r="1207" spans="1:7" s="105" customFormat="1" x14ac:dyDescent="0.25">
      <c r="A1207" s="106"/>
      <c r="B1207" s="92"/>
      <c r="C1207" s="93"/>
      <c r="D1207" s="92"/>
      <c r="E1207" s="92"/>
      <c r="F1207" s="92"/>
      <c r="G1207" s="94"/>
    </row>
    <row r="1208" spans="1:7" s="105" customFormat="1" x14ac:dyDescent="0.25">
      <c r="A1208" s="106"/>
      <c r="B1208" s="92"/>
      <c r="C1208" s="93"/>
      <c r="D1208" s="92"/>
      <c r="E1208" s="92"/>
      <c r="F1208" s="92"/>
      <c r="G1208" s="94"/>
    </row>
    <row r="1209" spans="1:7" s="105" customFormat="1" x14ac:dyDescent="0.25">
      <c r="A1209" s="106"/>
      <c r="B1209" s="92"/>
      <c r="C1209" s="93"/>
      <c r="D1209" s="92"/>
      <c r="E1209" s="92"/>
      <c r="F1209" s="92"/>
      <c r="G1209" s="94"/>
    </row>
  </sheetData>
  <autoFilter ref="A18:O787"/>
  <mergeCells count="9">
    <mergeCell ref="A789:B789"/>
    <mergeCell ref="A790:B790"/>
    <mergeCell ref="F790:G790"/>
    <mergeCell ref="A14:G14"/>
    <mergeCell ref="A16:A17"/>
    <mergeCell ref="B16:F16"/>
    <mergeCell ref="G16:G17"/>
    <mergeCell ref="B17:E17"/>
    <mergeCell ref="A788:B788"/>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10" manualBreakCount="10">
    <brk id="21" max="6" man="1"/>
    <brk id="666" max="6" man="1"/>
    <brk id="676" max="6" man="1"/>
    <brk id="691" max="6" man="1"/>
    <brk id="700" max="6" man="1"/>
    <brk id="715" max="6" man="1"/>
    <brk id="728" max="6" man="1"/>
    <brk id="742" max="6" man="1"/>
    <brk id="753" max="6" man="1"/>
    <brk id="77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2025-05-30T09:08:00Z</cp:lastPrinted>
  <dcterms:created xsi:type="dcterms:W3CDTF">2008-10-22T15:37:46Z</dcterms:created>
  <dcterms:modified xsi:type="dcterms:W3CDTF">2025-05-30T09:08:05Z</dcterms:modified>
</cp:coreProperties>
</file>